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e76e58685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9c8a0c93e0284843"/>
    <x:sheet xmlns:r="http://schemas.openxmlformats.org/officeDocument/2006/relationships" name="Year overview" sheetId="2" r:id="Rb3efdd618e614bc6"/>
    <x:sheet xmlns:r="http://schemas.openxmlformats.org/officeDocument/2006/relationships" name="Milestones" sheetId="3" r:id="R9d5a0d6e51744014"/>
    <x:sheet xmlns:r="http://schemas.openxmlformats.org/officeDocument/2006/relationships" name="Resources" sheetId="4" r:id="Rf5daf31818f942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d mmm"/>
    <x:numFmt numFmtId="202" formatCode="d"/>
  </x:numFmts>
  <x:fonts count="10">
    <x:font>
      <x:sz val="11"/>
      <x:name val="Carlito"/>
    </x:font>
    <x:font>
      <x:sz val="11"/>
      <x:color rgb="FFF4EFF7"/>
      <x:name val="Arial"/>
    </x:font>
    <x:font>
      <x:sz val="20"/>
      <x:color rgb="FFF4EFF7"/>
      <x:name val="Arial"/>
    </x:font>
    <x:font>
      <x:sz val="20"/>
      <x:color rgb="FFFFFFFF"/>
      <x:name val="Arial"/>
    </x:font>
    <x:font>
      <x:b/>
      <x:sz val="11"/>
      <x:color rgb="FFFFFFFF"/>
      <x:name val="Arial"/>
    </x:font>
    <x:font>
      <x:sz val="14"/>
      <x:color rgb="FFF4EFF7"/>
      <x:name val="Arial"/>
    </x:font>
    <x:font>
      <x:b/>
      <x:sz val="11"/>
      <x:color rgb="FFF4EFF7"/>
      <x:name val="Arial"/>
    </x:font>
    <x:font>
      <x:sz val="10"/>
      <x:color rgb="FFF4EFF7"/>
      <x:name val="Arial"/>
    </x:font>
    <x:font>
      <x:b/>
      <x:sz val="10"/>
      <x:color rgb="FFC28ED9"/>
      <x:name val="Arial"/>
    </x:font>
    <x:font>
      <x:b/>
      <x:sz val="11"/>
      <x:color rgb="FFC28ED9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202027"/>
      </x:patternFill>
    </x:fill>
    <x:fill>
      <x:patternFill patternType="solid">
        <x:fgColor rgb="FF563166"/>
      </x:patternFill>
    </x:fill>
    <x:fill>
      <x:patternFill patternType="solid">
        <x:fgColor rgb="FF493C28"/>
      </x:patternFill>
    </x:fill>
    <x:fill>
      <x:patternFill patternType="solid">
        <x:fgColor rgb="FF40334B"/>
      </x:patternFill>
    </x:fill>
    <x:fill>
      <x:patternFill patternType="solid">
        <x:fgColor rgb="FF30303B"/>
      </x:patternFill>
    </x:fill>
    <x:fill>
      <x:patternFill patternType="solid">
        <x:fgColor rgb="FF202027"/>
      </x:patternFill>
    </x:fill>
    <x:fill>
      <x:patternFill patternType="solid">
        <x:fgColor rgb="FF563166"/>
      </x:patternFill>
    </x:fill>
    <x:fill>
      <x:patternFill patternType="solid">
        <x:fgColor rgb="FF30303B"/>
      </x:patternFill>
    </x:fill>
  </x:fills>
  <x:borders count="4">
    <x:border>
      <x:left/>
      <x:right/>
      <x:top/>
      <x:bottom/>
      <x:diagonal/>
    </x:border>
    <x:border>
      <x:left style="thin">
        <x:color rgb="FF504455"/>
      </x:left>
      <x:right style="thin">
        <x:color rgb="FF504455"/>
      </x:right>
      <x:top style="thin">
        <x:color rgb="FF504455"/>
      </x:top>
      <x:bottom/>
      <x:diagonal/>
    </x:border>
    <x:border>
      <x:left style="thin">
        <x:color rgb="FF504455"/>
      </x:left>
      <x:right style="thin">
        <x:color rgb="FF504455"/>
      </x:right>
      <x:top/>
      <x:bottom/>
      <x:diagonal/>
    </x:border>
    <x:border>
      <x:left style="thin">
        <x:color rgb="FF504455"/>
      </x:left>
      <x:right style="thin">
        <x:color rgb="FF504455"/>
      </x:right>
      <x:top/>
      <x:bottom style="thin">
        <x:color rgb="FF504455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6" fillId="5" borderId="1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/>
    </x:xf>
    <x:xf numFmtId="0" fontId="7" fillId="6" borderId="2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 wrapText="1"/>
    </x:xf>
    <x:xf numFmtId="0" fontId="8" fillId="2" borderId="3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 applyAlignment="1">
      <x:alignment vertical="center" wrapText="1"/>
    </x:xf>
    <x:xf numFmtId="0" fontId="9" fillId="9" borderId="0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180">
    <x:dxf>
      <x:font>
        <x:b/>
        <x:color rgb="FFFFAAA7"/>
      </x:font>
    </x:dxf>
    <x:dxf>
      <x:font>
        <x:b/>
        <x:color rgb="FF91D7B8"/>
      </x:font>
    </x:dxf>
    <x:dxf>
      <x:font>
        <x:b/>
        <x:color rgb="FFF2CE82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FFAAA7"/>
      </x:font>
    </x:dxf>
    <x:dxf>
      <x:font>
        <x:b/>
        <x:color rgb="FF202027"/>
      </x:font>
      <x:fill>
        <x:patternFill>
          <x:bgColor rgb="FFC28ED9"/>
        </x:patternFill>
      </x:fill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  <x:dxf>
      <x:font>
        <x:b/>
        <x:color rgb="FFC28ED9"/>
      </x:font>
      <x:fill>
        <x:patternFill>
          <x:bgColor rgb="FF40334B"/>
        </x:patternFill>
      </x:fill>
    </x:dxf>
    <x:dxf>
      <x:font>
        <x:b/>
        <x:color rgb="FFFFAAA7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33a1357ce4b30" /><Relationship Type="http://schemas.openxmlformats.org/officeDocument/2006/relationships/theme" Target="/xl/theme/theme1.xml" Id="Rfba34ff986e44c10" /><Relationship Type="http://schemas.openxmlformats.org/officeDocument/2006/relationships/sharedStrings" Target="/xl/sharedStrings.xml" Id="R2fe07a5d18434831" /><Relationship Type="http://schemas.openxmlformats.org/officeDocument/2006/relationships/worksheet" Target="/xl/worksheets/sheet1.xml" Id="R9c8a0c93e0284843" /><Relationship Type="http://schemas.openxmlformats.org/officeDocument/2006/relationships/worksheet" Target="/xl/worksheets/sheet2.xml" Id="Rb3efdd618e614bc6" /><Relationship Type="http://schemas.openxmlformats.org/officeDocument/2006/relationships/worksheet" Target="/xl/worksheets/sheet3.xml" Id="R9d5a0d6e51744014" /><Relationship Type="http://schemas.openxmlformats.org/officeDocument/2006/relationships/worksheet" Target="/xl/worksheets/sheet4.xml" Id="Rf5daf31818f942ee" /></Relationships>
</file>

<file path=xl/tables/table1.xml><?xml version="1.0" encoding="utf-8"?>
<x:table xmlns:x="http://schemas.openxmlformats.org/spreadsheetml/2006/main" id="1" name="MilestoneList" displayName="MilestoneList" ref="B10:I210" headerRowCount="1" totalsRowCount="0" totalsRowShown="0">
  <x:tableColumns count="8">
    <x:tableColumn id="1" name="Milestone"/>
    <x:tableColumn id="2" name="Due date"/>
    <x:tableColumn id="3" name="Owner"/>
    <x:tableColumn id="4" name="Workstream"/>
    <x:tableColumn id="5" name="Status"/>
    <x:tableColumn id="6" name="Notes / acceptance"/>
    <x:tableColumn id="7" name="Timing"/>
    <x:tableColumn id="8" name="Calendar ke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d9cc99cccbd4459" /></Relationships>
</file>

<file path=xl/worksheets/sheet1.xml><?xml version="1.0" encoding="utf-8"?>
<x:worksheet xmlns:x="http://schemas.openxmlformats.org/spreadsheetml/2006/main">
  <x:sheetPr>
    <x:tabColor rgb="FFC28ED9"/>
  </x:sheetPr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7" t="str">
        <x:v>MILESTONE CALENDAR</x:v>
      </x:c>
      <x:c r="C2" s="7"/>
      <x:c r="D2" s="7"/>
      <x:c r="E2" s="7"/>
      <x:c r="F2" s="7"/>
      <x:c r="G2" s="7"/>
      <x:c r="H2" s="7"/>
      <x:c r="I2" s="3"/>
    </x:row>
    <x:row r="3" ht="23" customHeight="1">
      <x:c r="A3" s="3"/>
      <x:c r="B3" s="16" t="str">
        <x:f>Milestones!C5&amp;" | "&amp;TEXT(DATE(Milestones!C6,Milestones!F6,1),"mmmm yyyy")</x:f>
        <x:v>Website launch | October 2027</x:v>
      </x:c>
      <x:c r="C3" s="16"/>
      <x:c r="D3" s="16"/>
      <x:c r="E3" s="16"/>
      <x:c r="F3" s="16"/>
      <x:c r="G3" s="16"/>
      <x:c r="H3" s="16"/>
      <x:c r="I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3" customHeight="1">
      <x:c r="A5" s="3"/>
      <x:c r="B5" s="8" t="str">
        <x:v>Change the year and month on Milestones. Completed items stay visible; cancelled items are excluded.</x:v>
      </x:c>
      <x:c r="C5" s="8"/>
      <x:c r="D5" s="8"/>
      <x:c r="E5" s="8"/>
      <x:c r="F5" s="8"/>
      <x:c r="G5" s="8"/>
      <x:c r="H5" s="8"/>
      <x:c r="I5" s="3"/>
    </x:row>
    <x:row r="6" ht="23" customHeight="1">
      <x:c r="A6" s="3"/>
      <x:c r="B6" s="8" t="str">
        <x:v>Each day shows up to 3 milestones. “More” points to the full Milestones list. [Complete] identifies finished work.</x:v>
      </x:c>
      <x:c r="C6" s="8"/>
      <x:c r="D6" s="8"/>
      <x:c r="E6" s="8"/>
      <x:c r="F6" s="8"/>
      <x:c r="G6" s="8"/>
      <x:c r="H6" s="8"/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1" t="str">
        <x:v>MONDAY</x:v>
      </x:c>
      <x:c r="C8" s="11" t="str">
        <x:v>TUESDAY</x:v>
      </x:c>
      <x:c r="D8" s="11" t="str">
        <x:v>WEDNESDAY</x:v>
      </x:c>
      <x:c r="E8" s="11" t="str">
        <x:v>THURSDAY</x:v>
      </x:c>
      <x:c r="F8" s="11" t="str">
        <x:v>FRIDAY</x:v>
      </x:c>
      <x:c r="G8" s="11" t="str">
        <x:v>SATURDAY</x:v>
      </x:c>
      <x:c r="H8" s="11" t="str">
        <x:v>SUNDAY</x:v>
      </x:c>
      <x:c r="I8" s="3"/>
    </x:row>
    <x:row r="9" ht="25" customHeight="1">
      <x:c r="A9" s="3"/>
      <x:c r="B9" s="21" t="n">
        <x:f>DATE(Milestones!$C$6,Milestones!$F$6,1)-WEEKDAY(DATE(Milestones!$C$6,Milestones!$F$6,1),2)+1+0</x:f>
        <x:v>46657</x:v>
      </x:c>
      <x:c r="C9" s="21" t="n">
        <x:f>DATE(Milestones!$C$6,Milestones!$F$6,1)-WEEKDAY(DATE(Milestones!$C$6,Milestones!$F$6,1),2)+1+1</x:f>
        <x:v>46658</x:v>
      </x:c>
      <x:c r="D9" s="21" t="n">
        <x:f>DATE(Milestones!$C$6,Milestones!$F$6,1)-WEEKDAY(DATE(Milestones!$C$6,Milestones!$F$6,1),2)+1+2</x:f>
        <x:v>46659</x:v>
      </x:c>
      <x:c r="E9" s="21" t="n">
        <x:f>DATE(Milestones!$C$6,Milestones!$F$6,1)-WEEKDAY(DATE(Milestones!$C$6,Milestones!$F$6,1),2)+1+3</x:f>
        <x:v>46660</x:v>
      </x:c>
      <x:c r="F9" s="21" t="n">
        <x:f>DATE(Milestones!$C$6,Milestones!$F$6,1)-WEEKDAY(DATE(Milestones!$C$6,Milestones!$F$6,1),2)+1+4</x:f>
        <x:v>46661</x:v>
      </x:c>
      <x:c r="G9" s="21" t="n">
        <x:f>DATE(Milestones!$C$6,Milestones!$F$6,1)-WEEKDAY(DATE(Milestones!$C$6,Milestones!$F$6,1),2)+1+5</x:f>
        <x:v>46662</x:v>
      </x:c>
      <x:c r="H9" s="21" t="n">
        <x:f>DATE(Milestones!$C$6,Milestones!$F$6,1)-WEEKDAY(DATE(Milestones!$C$6,Milestones!$F$6,1),2)+1+6</x:f>
        <x:v>46663</x:v>
      </x:c>
      <x:c r="I9" s="3"/>
    </x:row>
    <x:row r="10" ht="34" customHeight="1">
      <x:c r="A10" s="3"/>
      <x:c r="B10" s="25" t="str">
        <x:f>IF(MONTH(B9)&lt;&gt;Milestones!$F$6,"",IFERROR(INDEX(Milestones!$B$11:$B$210,MATCH(B9*1000+1,Milestones!$I$11:$I$210,0))&amp;IF(INDEX(Milestones!$F$11:$F$210,MATCH(B9*1000+1,Milestones!$I$11:$I$210,0))="Complete"," [Complete]",""),""))</x:f>
      </x:c>
      <x:c r="C10" s="25" t="str">
        <x:f>IF(MONTH(C9)&lt;&gt;Milestones!$F$6,"",IFERROR(INDEX(Milestones!$B$11:$B$210,MATCH(C9*1000+1,Milestones!$I$11:$I$210,0))&amp;IF(INDEX(Milestones!$F$11:$F$210,MATCH(C9*1000+1,Milestones!$I$11:$I$210,0))="Complete"," [Complete]",""),""))</x:f>
      </x:c>
      <x:c r="D10" s="25" t="str">
        <x:f>IF(MONTH(D9)&lt;&gt;Milestones!$F$6,"",IFERROR(INDEX(Milestones!$B$11:$B$210,MATCH(D9*1000+1,Milestones!$I$11:$I$210,0))&amp;IF(INDEX(Milestones!$F$11:$F$210,MATCH(D9*1000+1,Milestones!$I$11:$I$210,0))="Complete"," [Complete]",""),""))</x:f>
      </x:c>
      <x:c r="E10" s="25" t="str">
        <x:f>IF(MONTH(E9)&lt;&gt;Milestones!$F$6,"",IFERROR(INDEX(Milestones!$B$11:$B$210,MATCH(E9*1000+1,Milestones!$I$11:$I$210,0))&amp;IF(INDEX(Milestones!$F$11:$F$210,MATCH(E9*1000+1,Milestones!$I$11:$I$210,0))="Complete"," [Complete]",""),""))</x:f>
      </x:c>
      <x:c r="F10" s="25" t="str">
        <x:f>IF(MONTH(F9)&lt;&gt;Milestones!$F$6,"",IFERROR(INDEX(Milestones!$B$11:$B$210,MATCH(F9*1000+1,Milestones!$I$11:$I$210,0))&amp;IF(INDEX(Milestones!$F$11:$F$210,MATCH(F9*1000+1,Milestones!$I$11:$I$210,0))="Complete"," [Complete]",""),""))</x:f>
      </x:c>
      <x:c r="G10" s="30" t="str">
        <x:f>IF(MONTH(G9)&lt;&gt;Milestones!$F$6,"",IFERROR(INDEX(Milestones!$B$11:$B$210,MATCH(G9*1000+1,Milestones!$I$11:$I$210,0))&amp;IF(INDEX(Milestones!$F$11:$F$210,MATCH(G9*1000+1,Milestones!$I$11:$I$210,0))="Complete"," [Complete]",""),""))</x:f>
      </x:c>
      <x:c r="H10" s="30" t="str">
        <x:f>IF(MONTH(H9)&lt;&gt;Milestones!$F$6,"",IFERROR(INDEX(Milestones!$B$11:$B$210,MATCH(H9*1000+1,Milestones!$I$11:$I$210,0))&amp;IF(INDEX(Milestones!$F$11:$F$210,MATCH(H9*1000+1,Milestones!$I$11:$I$210,0))="Complete"," [Complete]",""),""))</x:f>
      </x:c>
      <x:c r="I10" s="3"/>
    </x:row>
    <x:row r="11" ht="34" customHeight="1">
      <x:c r="A11" s="3"/>
      <x:c r="B11" s="25" t="str">
        <x:f>IF(MONTH(B9)&lt;&gt;Milestones!$F$6,"",IFERROR(INDEX(Milestones!$B$11:$B$210,MATCH(B9*1000+2,Milestones!$I$11:$I$210,0))&amp;IF(INDEX(Milestones!$F$11:$F$210,MATCH(B9*1000+2,Milestones!$I$11:$I$210,0))="Complete"," [Complete]",""),""))</x:f>
      </x:c>
      <x:c r="C11" s="25" t="str">
        <x:f>IF(MONTH(C9)&lt;&gt;Milestones!$F$6,"",IFERROR(INDEX(Milestones!$B$11:$B$210,MATCH(C9*1000+2,Milestones!$I$11:$I$210,0))&amp;IF(INDEX(Milestones!$F$11:$F$210,MATCH(C9*1000+2,Milestones!$I$11:$I$210,0))="Complete"," [Complete]",""),""))</x:f>
      </x:c>
      <x:c r="D11" s="25" t="str">
        <x:f>IF(MONTH(D9)&lt;&gt;Milestones!$F$6,"",IFERROR(INDEX(Milestones!$B$11:$B$210,MATCH(D9*1000+2,Milestones!$I$11:$I$210,0))&amp;IF(INDEX(Milestones!$F$11:$F$210,MATCH(D9*1000+2,Milestones!$I$11:$I$210,0))="Complete"," [Complete]",""),""))</x:f>
      </x:c>
      <x:c r="E11" s="25" t="str">
        <x:f>IF(MONTH(E9)&lt;&gt;Milestones!$F$6,"",IFERROR(INDEX(Milestones!$B$11:$B$210,MATCH(E9*1000+2,Milestones!$I$11:$I$210,0))&amp;IF(INDEX(Milestones!$F$11:$F$210,MATCH(E9*1000+2,Milestones!$I$11:$I$210,0))="Complete"," [Complete]",""),""))</x:f>
      </x:c>
      <x:c r="F11" s="25" t="str">
        <x:f>IF(MONTH(F9)&lt;&gt;Milestones!$F$6,"",IFERROR(INDEX(Milestones!$B$11:$B$210,MATCH(F9*1000+2,Milestones!$I$11:$I$210,0))&amp;IF(INDEX(Milestones!$F$11:$F$210,MATCH(F9*1000+2,Milestones!$I$11:$I$210,0))="Complete"," [Complete]",""),""))</x:f>
      </x:c>
      <x:c r="G11" s="30" t="str">
        <x:f>IF(MONTH(G9)&lt;&gt;Milestones!$F$6,"",IFERROR(INDEX(Milestones!$B$11:$B$210,MATCH(G9*1000+2,Milestones!$I$11:$I$210,0))&amp;IF(INDEX(Milestones!$F$11:$F$210,MATCH(G9*1000+2,Milestones!$I$11:$I$210,0))="Complete"," [Complete]",""),""))</x:f>
      </x:c>
      <x:c r="H11" s="30" t="str">
        <x:f>IF(MONTH(H9)&lt;&gt;Milestones!$F$6,"",IFERROR(INDEX(Milestones!$B$11:$B$210,MATCH(H9*1000+2,Milestones!$I$11:$I$210,0))&amp;IF(INDEX(Milestones!$F$11:$F$210,MATCH(H9*1000+2,Milestones!$I$11:$I$210,0))="Complete"," [Complete]",""),""))</x:f>
      </x:c>
      <x:c r="I11" s="3"/>
    </x:row>
    <x:row r="12" ht="34" customHeight="1">
      <x:c r="A12" s="3"/>
      <x:c r="B12" s="25" t="str">
        <x:f>IF(MONTH(B9)&lt;&gt;Milestones!$F$6,"",IFERROR(INDEX(Milestones!$B$11:$B$210,MATCH(B9*1000+3,Milestones!$I$11:$I$210,0))&amp;IF(INDEX(Milestones!$F$11:$F$210,MATCH(B9*1000+3,Milestones!$I$11:$I$210,0))="Complete"," [Complete]",""),""))</x:f>
      </x:c>
      <x:c r="C12" s="25" t="str">
        <x:f>IF(MONTH(C9)&lt;&gt;Milestones!$F$6,"",IFERROR(INDEX(Milestones!$B$11:$B$210,MATCH(C9*1000+3,Milestones!$I$11:$I$210,0))&amp;IF(INDEX(Milestones!$F$11:$F$210,MATCH(C9*1000+3,Milestones!$I$11:$I$210,0))="Complete"," [Complete]",""),""))</x:f>
      </x:c>
      <x:c r="D12" s="25" t="str">
        <x:f>IF(MONTH(D9)&lt;&gt;Milestones!$F$6,"",IFERROR(INDEX(Milestones!$B$11:$B$210,MATCH(D9*1000+3,Milestones!$I$11:$I$210,0))&amp;IF(INDEX(Milestones!$F$11:$F$210,MATCH(D9*1000+3,Milestones!$I$11:$I$210,0))="Complete"," [Complete]",""),""))</x:f>
      </x:c>
      <x:c r="E12" s="25" t="str">
        <x:f>IF(MONTH(E9)&lt;&gt;Milestones!$F$6,"",IFERROR(INDEX(Milestones!$B$11:$B$210,MATCH(E9*1000+3,Milestones!$I$11:$I$210,0))&amp;IF(INDEX(Milestones!$F$11:$F$210,MATCH(E9*1000+3,Milestones!$I$11:$I$210,0))="Complete"," [Complete]",""),""))</x:f>
      </x:c>
      <x:c r="F12" s="25" t="str">
        <x:f>IF(MONTH(F9)&lt;&gt;Milestones!$F$6,"",IFERROR(INDEX(Milestones!$B$11:$B$210,MATCH(F9*1000+3,Milestones!$I$11:$I$210,0))&amp;IF(INDEX(Milestones!$F$11:$F$210,MATCH(F9*1000+3,Milestones!$I$11:$I$210,0))="Complete"," [Complete]",""),""))</x:f>
      </x:c>
      <x:c r="G12" s="30" t="str">
        <x:f>IF(MONTH(G9)&lt;&gt;Milestones!$F$6,"",IFERROR(INDEX(Milestones!$B$11:$B$210,MATCH(G9*1000+3,Milestones!$I$11:$I$210,0))&amp;IF(INDEX(Milestones!$F$11:$F$210,MATCH(G9*1000+3,Milestones!$I$11:$I$210,0))="Complete"," [Complete]",""),""))</x:f>
      </x:c>
      <x:c r="H12" s="30" t="str">
        <x:f>IF(MONTH(H9)&lt;&gt;Milestones!$F$6,"",IFERROR(INDEX(Milestones!$B$11:$B$210,MATCH(H9*1000+3,Milestones!$I$11:$I$210,0))&amp;IF(INDEX(Milestones!$F$11:$F$210,MATCH(H9*1000+3,Milestones!$I$11:$I$210,0))="Complete"," [Complete]",""),""))</x:f>
      </x:c>
      <x:c r="I12" s="3"/>
    </x:row>
    <x:row r="13" ht="23" customHeight="1">
      <x:c r="A13" s="3"/>
      <x:c r="B13" s="26" t="str">
        <x:f>IF(MONTH(B9)&lt;&gt;Milestones!$F$6,"",IF(COUNTIFS(Milestones!$C$11:$C$210,B9,Milestones!$B$11:$B$210,"&lt;&gt;",Milestones!$F$11:$F$210,"&lt;&gt;Cancelled")&gt;3,"+ "&amp;(COUNTIFS(Milestones!$C$11:$C$210,B9,Milestones!$B$11:$B$210,"&lt;&gt;",Milestones!$F$11:$F$210,"&lt;&gt;Cancelled")-3)&amp;" more in list",""))</x:f>
      </x:c>
      <x:c r="C13" s="26" t="str">
        <x:f>IF(MONTH(C9)&lt;&gt;Milestones!$F$6,"",IF(COUNTIFS(Milestones!$C$11:$C$210,C9,Milestones!$B$11:$B$210,"&lt;&gt;",Milestones!$F$11:$F$210,"&lt;&gt;Cancelled")&gt;3,"+ "&amp;(COUNTIFS(Milestones!$C$11:$C$210,C9,Milestones!$B$11:$B$210,"&lt;&gt;",Milestones!$F$11:$F$210,"&lt;&gt;Cancelled")-3)&amp;" more in list",""))</x:f>
      </x:c>
      <x:c r="D13" s="26" t="str">
        <x:f>IF(MONTH(D9)&lt;&gt;Milestones!$F$6,"",IF(COUNTIFS(Milestones!$C$11:$C$210,D9,Milestones!$B$11:$B$210,"&lt;&gt;",Milestones!$F$11:$F$210,"&lt;&gt;Cancelled")&gt;3,"+ "&amp;(COUNTIFS(Milestones!$C$11:$C$210,D9,Milestones!$B$11:$B$210,"&lt;&gt;",Milestones!$F$11:$F$210,"&lt;&gt;Cancelled")-3)&amp;" more in list",""))</x:f>
      </x:c>
      <x:c r="E13" s="26" t="str">
        <x:f>IF(MONTH(E9)&lt;&gt;Milestones!$F$6,"",IF(COUNTIFS(Milestones!$C$11:$C$210,E9,Milestones!$B$11:$B$210,"&lt;&gt;",Milestones!$F$11:$F$210,"&lt;&gt;Cancelled")&gt;3,"+ "&amp;(COUNTIFS(Milestones!$C$11:$C$210,E9,Milestones!$B$11:$B$210,"&lt;&gt;",Milestones!$F$11:$F$210,"&lt;&gt;Cancelled")-3)&amp;" more in list",""))</x:f>
      </x:c>
      <x:c r="F13" s="26" t="str">
        <x:f>IF(MONTH(F9)&lt;&gt;Milestones!$F$6,"",IF(COUNTIFS(Milestones!$C$11:$C$210,F9,Milestones!$B$11:$B$210,"&lt;&gt;",Milestones!$F$11:$F$210,"&lt;&gt;Cancelled")&gt;3,"+ "&amp;(COUNTIFS(Milestones!$C$11:$C$210,F9,Milestones!$B$11:$B$210,"&lt;&gt;",Milestones!$F$11:$F$210,"&lt;&gt;Cancelled")-3)&amp;" more in list",""))</x:f>
      </x:c>
      <x:c r="G13" s="31" t="str">
        <x:f>IF(MONTH(G9)&lt;&gt;Milestones!$F$6,"",IF(COUNTIFS(Milestones!$C$11:$C$210,G9,Milestones!$B$11:$B$210,"&lt;&gt;",Milestones!$F$11:$F$210,"&lt;&gt;Cancelled")&gt;3,"+ "&amp;(COUNTIFS(Milestones!$C$11:$C$210,G9,Milestones!$B$11:$B$210,"&lt;&gt;",Milestones!$F$11:$F$210,"&lt;&gt;Cancelled")-3)&amp;" more in list",""))</x:f>
      </x:c>
      <x:c r="H13" s="31" t="str">
        <x:f>IF(MONTH(H9)&lt;&gt;Milestones!$F$6,"",IF(COUNTIFS(Milestones!$C$11:$C$210,H9,Milestones!$B$11:$B$210,"&lt;&gt;",Milestones!$F$11:$F$210,"&lt;&gt;Cancelled")&gt;3,"+ "&amp;(COUNTIFS(Milestones!$C$11:$C$210,H9,Milestones!$B$11:$B$210,"&lt;&gt;",Milestones!$F$11:$F$210,"&lt;&gt;Cancelled")-3)&amp;" more in list",""))</x:f>
      </x:c>
      <x:c r="I13" s="3"/>
    </x:row>
    <x:row r="14" ht="25" customHeight="1">
      <x:c r="A14" s="3"/>
      <x:c r="B14" s="21" t="n">
        <x:f>DATE(Milestones!$C$6,Milestones!$F$6,1)-WEEKDAY(DATE(Milestones!$C$6,Milestones!$F$6,1),2)+1+7</x:f>
        <x:v>46664</x:v>
      </x:c>
      <x:c r="C14" s="21" t="n">
        <x:f>DATE(Milestones!$C$6,Milestones!$F$6,1)-WEEKDAY(DATE(Milestones!$C$6,Milestones!$F$6,1),2)+1+8</x:f>
        <x:v>46665</x:v>
      </x:c>
      <x:c r="D14" s="21" t="n">
        <x:f>DATE(Milestones!$C$6,Milestones!$F$6,1)-WEEKDAY(DATE(Milestones!$C$6,Milestones!$F$6,1),2)+1+9</x:f>
        <x:v>46666</x:v>
      </x:c>
      <x:c r="E14" s="21" t="n">
        <x:f>DATE(Milestones!$C$6,Milestones!$F$6,1)-WEEKDAY(DATE(Milestones!$C$6,Milestones!$F$6,1),2)+1+10</x:f>
        <x:v>46667</x:v>
      </x:c>
      <x:c r="F14" s="21" t="n">
        <x:f>DATE(Milestones!$C$6,Milestones!$F$6,1)-WEEKDAY(DATE(Milestones!$C$6,Milestones!$F$6,1),2)+1+11</x:f>
        <x:v>46668</x:v>
      </x:c>
      <x:c r="G14" s="21" t="n">
        <x:f>DATE(Milestones!$C$6,Milestones!$F$6,1)-WEEKDAY(DATE(Milestones!$C$6,Milestones!$F$6,1),2)+1+12</x:f>
        <x:v>46669</x:v>
      </x:c>
      <x:c r="H14" s="21" t="n">
        <x:f>DATE(Milestones!$C$6,Milestones!$F$6,1)-WEEKDAY(DATE(Milestones!$C$6,Milestones!$F$6,1),2)+1+13</x:f>
        <x:v>46670</x:v>
      </x:c>
      <x:c r="I14" s="3"/>
    </x:row>
    <x:row r="15" ht="34" customHeight="1">
      <x:c r="A15" s="3"/>
      <x:c r="B15" s="25" t="str">
        <x:f>IF(MONTH(B14)&lt;&gt;Milestones!$F$6,"",IFERROR(INDEX(Milestones!$B$11:$B$210,MATCH(B14*1000+1,Milestones!$I$11:$I$210,0))&amp;IF(INDEX(Milestones!$F$11:$F$210,MATCH(B14*1000+1,Milestones!$I$11:$I$210,0))="Complete"," [Complete]",""),""))</x:f>
      </x:c>
      <x:c r="C15" s="25" t="str">
        <x:f>IF(MONTH(C14)&lt;&gt;Milestones!$F$6,"",IFERROR(INDEX(Milestones!$B$11:$B$210,MATCH(C14*1000+1,Milestones!$I$11:$I$210,0))&amp;IF(INDEX(Milestones!$F$11:$F$210,MATCH(C14*1000+1,Milestones!$I$11:$I$210,0))="Complete"," [Complete]",""),""))</x:f>
        <x:v>Scope agreed [Complete]</x:v>
      </x:c>
      <x:c r="D15" s="25" t="str">
        <x:f>IF(MONTH(D14)&lt;&gt;Milestones!$F$6,"",IFERROR(INDEX(Milestones!$B$11:$B$210,MATCH(D14*1000+1,Milestones!$I$11:$I$210,0))&amp;IF(INDEX(Milestones!$F$11:$F$210,MATCH(D14*1000+1,Milestones!$I$11:$I$210,0))="Complete"," [Complete]",""),""))</x:f>
      </x:c>
      <x:c r="E15" s="25" t="str">
        <x:f>IF(MONTH(E14)&lt;&gt;Milestones!$F$6,"",IFERROR(INDEX(Milestones!$B$11:$B$210,MATCH(E14*1000+1,Milestones!$I$11:$I$210,0))&amp;IF(INDEX(Milestones!$F$11:$F$210,MATCH(E14*1000+1,Milestones!$I$11:$I$210,0))="Complete"," [Complete]",""),""))</x:f>
      </x:c>
      <x:c r="F15" s="25" t="str">
        <x:f>IF(MONTH(F14)&lt;&gt;Milestones!$F$6,"",IFERROR(INDEX(Milestones!$B$11:$B$210,MATCH(F14*1000+1,Milestones!$I$11:$I$210,0))&amp;IF(INDEX(Milestones!$F$11:$F$210,MATCH(F14*1000+1,Milestones!$I$11:$I$210,0))="Complete"," [Complete]",""),""))</x:f>
        <x:v>Design signed off [Complete]</x:v>
      </x:c>
      <x:c r="G15" s="30" t="str">
        <x:f>IF(MONTH(G14)&lt;&gt;Milestones!$F$6,"",IFERROR(INDEX(Milestones!$B$11:$B$210,MATCH(G14*1000+1,Milestones!$I$11:$I$210,0))&amp;IF(INDEX(Milestones!$F$11:$F$210,MATCH(G14*1000+1,Milestones!$I$11:$I$210,0))="Complete"," [Complete]",""),""))</x:f>
      </x:c>
      <x:c r="H15" s="30" t="str">
        <x:f>IF(MONTH(H14)&lt;&gt;Milestones!$F$6,"",IFERROR(INDEX(Milestones!$B$11:$B$210,MATCH(H14*1000+1,Milestones!$I$11:$I$210,0))&amp;IF(INDEX(Milestones!$F$11:$F$210,MATCH(H14*1000+1,Milestones!$I$11:$I$210,0))="Complete"," [Complete]",""),""))</x:f>
      </x:c>
      <x:c r="I15" s="3"/>
    </x:row>
    <x:row r="16" ht="34" customHeight="1">
      <x:c r="A16" s="3"/>
      <x:c r="B16" s="25" t="str">
        <x:f>IF(MONTH(B14)&lt;&gt;Milestones!$F$6,"",IFERROR(INDEX(Milestones!$B$11:$B$210,MATCH(B14*1000+2,Milestones!$I$11:$I$210,0))&amp;IF(INDEX(Milestones!$F$11:$F$210,MATCH(B14*1000+2,Milestones!$I$11:$I$210,0))="Complete"," [Complete]",""),""))</x:f>
      </x:c>
      <x:c r="C16" s="25" t="str">
        <x:f>IF(MONTH(C14)&lt;&gt;Milestones!$F$6,"",IFERROR(INDEX(Milestones!$B$11:$B$210,MATCH(C14*1000+2,Milestones!$I$11:$I$210,0))&amp;IF(INDEX(Milestones!$F$11:$F$210,MATCH(C14*1000+2,Milestones!$I$11:$I$210,0))="Complete"," [Complete]",""),""))</x:f>
      </x:c>
      <x:c r="D16" s="25" t="str">
        <x:f>IF(MONTH(D14)&lt;&gt;Milestones!$F$6,"",IFERROR(INDEX(Milestones!$B$11:$B$210,MATCH(D14*1000+2,Milestones!$I$11:$I$210,0))&amp;IF(INDEX(Milestones!$F$11:$F$210,MATCH(D14*1000+2,Milestones!$I$11:$I$210,0))="Complete"," [Complete]",""),""))</x:f>
      </x:c>
      <x:c r="E16" s="25" t="str">
        <x:f>IF(MONTH(E14)&lt;&gt;Milestones!$F$6,"",IFERROR(INDEX(Milestones!$B$11:$B$210,MATCH(E14*1000+2,Milestones!$I$11:$I$210,0))&amp;IF(INDEX(Milestones!$F$11:$F$210,MATCH(E14*1000+2,Milestones!$I$11:$I$210,0))="Complete"," [Complete]",""),""))</x:f>
      </x:c>
      <x:c r="F16" s="25" t="str">
        <x:f>IF(MONTH(F14)&lt;&gt;Milestones!$F$6,"",IFERROR(INDEX(Milestones!$B$11:$B$210,MATCH(F14*1000+2,Milestones!$I$11:$I$210,0))&amp;IF(INDEX(Milestones!$F$11:$F$210,MATCH(F14*1000+2,Milestones!$I$11:$I$210,0))="Complete"," [Complete]",""),""))</x:f>
      </x:c>
      <x:c r="G16" s="30" t="str">
        <x:f>IF(MONTH(G14)&lt;&gt;Milestones!$F$6,"",IFERROR(INDEX(Milestones!$B$11:$B$210,MATCH(G14*1000+2,Milestones!$I$11:$I$210,0))&amp;IF(INDEX(Milestones!$F$11:$F$210,MATCH(G14*1000+2,Milestones!$I$11:$I$210,0))="Complete"," [Complete]",""),""))</x:f>
      </x:c>
      <x:c r="H16" s="30" t="str">
        <x:f>IF(MONTH(H14)&lt;&gt;Milestones!$F$6,"",IFERROR(INDEX(Milestones!$B$11:$B$210,MATCH(H14*1000+2,Milestones!$I$11:$I$210,0))&amp;IF(INDEX(Milestones!$F$11:$F$210,MATCH(H14*1000+2,Milestones!$I$11:$I$210,0))="Complete"," [Complete]",""),""))</x:f>
      </x:c>
      <x:c r="I16" s="3"/>
    </x:row>
    <x:row r="17" ht="34" customHeight="1">
      <x:c r="A17" s="3"/>
      <x:c r="B17" s="25" t="str">
        <x:f>IF(MONTH(B14)&lt;&gt;Milestones!$F$6,"",IFERROR(INDEX(Milestones!$B$11:$B$210,MATCH(B14*1000+3,Milestones!$I$11:$I$210,0))&amp;IF(INDEX(Milestones!$F$11:$F$210,MATCH(B14*1000+3,Milestones!$I$11:$I$210,0))="Complete"," [Complete]",""),""))</x:f>
      </x:c>
      <x:c r="C17" s="25" t="str">
        <x:f>IF(MONTH(C14)&lt;&gt;Milestones!$F$6,"",IFERROR(INDEX(Milestones!$B$11:$B$210,MATCH(C14*1000+3,Milestones!$I$11:$I$210,0))&amp;IF(INDEX(Milestones!$F$11:$F$210,MATCH(C14*1000+3,Milestones!$I$11:$I$210,0))="Complete"," [Complete]",""),""))</x:f>
      </x:c>
      <x:c r="D17" s="25" t="str">
        <x:f>IF(MONTH(D14)&lt;&gt;Milestones!$F$6,"",IFERROR(INDEX(Milestones!$B$11:$B$210,MATCH(D14*1000+3,Milestones!$I$11:$I$210,0))&amp;IF(INDEX(Milestones!$F$11:$F$210,MATCH(D14*1000+3,Milestones!$I$11:$I$210,0))="Complete"," [Complete]",""),""))</x:f>
      </x:c>
      <x:c r="E17" s="25" t="str">
        <x:f>IF(MONTH(E14)&lt;&gt;Milestones!$F$6,"",IFERROR(INDEX(Milestones!$B$11:$B$210,MATCH(E14*1000+3,Milestones!$I$11:$I$210,0))&amp;IF(INDEX(Milestones!$F$11:$F$210,MATCH(E14*1000+3,Milestones!$I$11:$I$210,0))="Complete"," [Complete]",""),""))</x:f>
      </x:c>
      <x:c r="F17" s="25" t="str">
        <x:f>IF(MONTH(F14)&lt;&gt;Milestones!$F$6,"",IFERROR(INDEX(Milestones!$B$11:$B$210,MATCH(F14*1000+3,Milestones!$I$11:$I$210,0))&amp;IF(INDEX(Milestones!$F$11:$F$210,MATCH(F14*1000+3,Milestones!$I$11:$I$210,0))="Complete"," [Complete]",""),""))</x:f>
      </x:c>
      <x:c r="G17" s="30" t="str">
        <x:f>IF(MONTH(G14)&lt;&gt;Milestones!$F$6,"",IFERROR(INDEX(Milestones!$B$11:$B$210,MATCH(G14*1000+3,Milestones!$I$11:$I$210,0))&amp;IF(INDEX(Milestones!$F$11:$F$210,MATCH(G14*1000+3,Milestones!$I$11:$I$210,0))="Complete"," [Complete]",""),""))</x:f>
      </x:c>
      <x:c r="H17" s="30" t="str">
        <x:f>IF(MONTH(H14)&lt;&gt;Milestones!$F$6,"",IFERROR(INDEX(Milestones!$B$11:$B$210,MATCH(H14*1000+3,Milestones!$I$11:$I$210,0))&amp;IF(INDEX(Milestones!$F$11:$F$210,MATCH(H14*1000+3,Milestones!$I$11:$I$210,0))="Complete"," [Complete]",""),""))</x:f>
      </x:c>
      <x:c r="I17" s="3"/>
    </x:row>
    <x:row r="18" ht="23" customHeight="1">
      <x:c r="A18" s="3"/>
      <x:c r="B18" s="26" t="str">
        <x:f>IF(MONTH(B14)&lt;&gt;Milestones!$F$6,"",IF(COUNTIFS(Milestones!$C$11:$C$210,B14,Milestones!$B$11:$B$210,"&lt;&gt;",Milestones!$F$11:$F$210,"&lt;&gt;Cancelled")&gt;3,"+ "&amp;(COUNTIFS(Milestones!$C$11:$C$210,B14,Milestones!$B$11:$B$210,"&lt;&gt;",Milestones!$F$11:$F$210,"&lt;&gt;Cancelled")-3)&amp;" more in list",""))</x:f>
      </x:c>
      <x:c r="C18" s="26" t="str">
        <x:f>IF(MONTH(C14)&lt;&gt;Milestones!$F$6,"",IF(COUNTIFS(Milestones!$C$11:$C$210,C14,Milestones!$B$11:$B$210,"&lt;&gt;",Milestones!$F$11:$F$210,"&lt;&gt;Cancelled")&gt;3,"+ "&amp;(COUNTIFS(Milestones!$C$11:$C$210,C14,Milestones!$B$11:$B$210,"&lt;&gt;",Milestones!$F$11:$F$210,"&lt;&gt;Cancelled")-3)&amp;" more in list",""))</x:f>
      </x:c>
      <x:c r="D18" s="26" t="str">
        <x:f>IF(MONTH(D14)&lt;&gt;Milestones!$F$6,"",IF(COUNTIFS(Milestones!$C$11:$C$210,D14,Milestones!$B$11:$B$210,"&lt;&gt;",Milestones!$F$11:$F$210,"&lt;&gt;Cancelled")&gt;3,"+ "&amp;(COUNTIFS(Milestones!$C$11:$C$210,D14,Milestones!$B$11:$B$210,"&lt;&gt;",Milestones!$F$11:$F$210,"&lt;&gt;Cancelled")-3)&amp;" more in list",""))</x:f>
      </x:c>
      <x:c r="E18" s="26" t="str">
        <x:f>IF(MONTH(E14)&lt;&gt;Milestones!$F$6,"",IF(COUNTIFS(Milestones!$C$11:$C$210,E14,Milestones!$B$11:$B$210,"&lt;&gt;",Milestones!$F$11:$F$210,"&lt;&gt;Cancelled")&gt;3,"+ "&amp;(COUNTIFS(Milestones!$C$11:$C$210,E14,Milestones!$B$11:$B$210,"&lt;&gt;",Milestones!$F$11:$F$210,"&lt;&gt;Cancelled")-3)&amp;" more in list",""))</x:f>
      </x:c>
      <x:c r="F18" s="26" t="str">
        <x:f>IF(MONTH(F14)&lt;&gt;Milestones!$F$6,"",IF(COUNTIFS(Milestones!$C$11:$C$210,F14,Milestones!$B$11:$B$210,"&lt;&gt;",Milestones!$F$11:$F$210,"&lt;&gt;Cancelled")&gt;3,"+ "&amp;(COUNTIFS(Milestones!$C$11:$C$210,F14,Milestones!$B$11:$B$210,"&lt;&gt;",Milestones!$F$11:$F$210,"&lt;&gt;Cancelled")-3)&amp;" more in list",""))</x:f>
      </x:c>
      <x:c r="G18" s="31" t="str">
        <x:f>IF(MONTH(G14)&lt;&gt;Milestones!$F$6,"",IF(COUNTIFS(Milestones!$C$11:$C$210,G14,Milestones!$B$11:$B$210,"&lt;&gt;",Milestones!$F$11:$F$210,"&lt;&gt;Cancelled")&gt;3,"+ "&amp;(COUNTIFS(Milestones!$C$11:$C$210,G14,Milestones!$B$11:$B$210,"&lt;&gt;",Milestones!$F$11:$F$210,"&lt;&gt;Cancelled")-3)&amp;" more in list",""))</x:f>
      </x:c>
      <x:c r="H18" s="31" t="str">
        <x:f>IF(MONTH(H14)&lt;&gt;Milestones!$F$6,"",IF(COUNTIFS(Milestones!$C$11:$C$210,H14,Milestones!$B$11:$B$210,"&lt;&gt;",Milestones!$F$11:$F$210,"&lt;&gt;Cancelled")&gt;3,"+ "&amp;(COUNTIFS(Milestones!$C$11:$C$210,H14,Milestones!$B$11:$B$210,"&lt;&gt;",Milestones!$F$11:$F$210,"&lt;&gt;Cancelled")-3)&amp;" more in list",""))</x:f>
      </x:c>
      <x:c r="I18" s="3"/>
    </x:row>
    <x:row r="19" ht="25" customHeight="1">
      <x:c r="A19" s="3"/>
      <x:c r="B19" s="21" t="n">
        <x:f>DATE(Milestones!$C$6,Milestones!$F$6,1)-WEEKDAY(DATE(Milestones!$C$6,Milestones!$F$6,1),2)+1+14</x:f>
        <x:v>46671</x:v>
      </x:c>
      <x:c r="C19" s="21" t="n">
        <x:f>DATE(Milestones!$C$6,Milestones!$F$6,1)-WEEKDAY(DATE(Milestones!$C$6,Milestones!$F$6,1),2)+1+15</x:f>
        <x:v>46672</x:v>
      </x:c>
      <x:c r="D19" s="21" t="n">
        <x:f>DATE(Milestones!$C$6,Milestones!$F$6,1)-WEEKDAY(DATE(Milestones!$C$6,Milestones!$F$6,1),2)+1+16</x:f>
        <x:v>46673</x:v>
      </x:c>
      <x:c r="E19" s="21" t="n">
        <x:f>DATE(Milestones!$C$6,Milestones!$F$6,1)-WEEKDAY(DATE(Milestones!$C$6,Milestones!$F$6,1),2)+1+17</x:f>
        <x:v>46674</x:v>
      </x:c>
      <x:c r="F19" s="21" t="n">
        <x:f>DATE(Milestones!$C$6,Milestones!$F$6,1)-WEEKDAY(DATE(Milestones!$C$6,Milestones!$F$6,1),2)+1+18</x:f>
        <x:v>46675</x:v>
      </x:c>
      <x:c r="G19" s="21" t="n">
        <x:f>DATE(Milestones!$C$6,Milestones!$F$6,1)-WEEKDAY(DATE(Milestones!$C$6,Milestones!$F$6,1),2)+1+19</x:f>
        <x:v>46676</x:v>
      </x:c>
      <x:c r="H19" s="21" t="n">
        <x:f>DATE(Milestones!$C$6,Milestones!$F$6,1)-WEEKDAY(DATE(Milestones!$C$6,Milestones!$F$6,1),2)+1+20</x:f>
        <x:v>46677</x:v>
      </x:c>
      <x:c r="I19" s="3"/>
    </x:row>
    <x:row r="20" ht="34" customHeight="1">
      <x:c r="A20" s="3"/>
      <x:c r="B20" s="25" t="str">
        <x:f>IF(MONTH(B19)&lt;&gt;Milestones!$F$6,"",IFERROR(INDEX(Milestones!$B$11:$B$210,MATCH(B19*1000+1,Milestones!$I$11:$I$210,0))&amp;IF(INDEX(Milestones!$F$11:$F$210,MATCH(B19*1000+1,Milestones!$I$11:$I$210,0))="Complete"," [Complete]",""),""))</x:f>
      </x:c>
      <x:c r="C20" s="25" t="str">
        <x:f>IF(MONTH(C19)&lt;&gt;Milestones!$F$6,"",IFERROR(INDEX(Milestones!$B$11:$B$210,MATCH(C19*1000+1,Milestones!$I$11:$I$210,0))&amp;IF(INDEX(Milestones!$F$11:$F$210,MATCH(C19*1000+1,Milestones!$I$11:$I$210,0))="Complete"," [Complete]",""),""))</x:f>
      </x:c>
      <x:c r="D20" s="25" t="str">
        <x:f>IF(MONTH(D19)&lt;&gt;Milestones!$F$6,"",IFERROR(INDEX(Milestones!$B$11:$B$210,MATCH(D19*1000+1,Milestones!$I$11:$I$210,0))&amp;IF(INDEX(Milestones!$F$11:$F$210,MATCH(D19*1000+1,Milestones!$I$11:$I$210,0))="Complete"," [Complete]",""),""))</x:f>
      </x:c>
      <x:c r="E20" s="25" t="str">
        <x:f>IF(MONTH(E19)&lt;&gt;Milestones!$F$6,"",IFERROR(INDEX(Milestones!$B$11:$B$210,MATCH(E19*1000+1,Milestones!$I$11:$I$210,0))&amp;IF(INDEX(Milestones!$F$11:$F$210,MATCH(E19*1000+1,Milestones!$I$11:$I$210,0))="Complete"," [Complete]",""),""))</x:f>
        <x:v>Content approved</x:v>
      </x:c>
      <x:c r="F20" s="25" t="str">
        <x:f>IF(MONTH(F19)&lt;&gt;Milestones!$F$6,"",IFERROR(INDEX(Milestones!$B$11:$B$210,MATCH(F19*1000+1,Milestones!$I$11:$I$210,0))&amp;IF(INDEX(Milestones!$F$11:$F$210,MATCH(F19*1000+1,Milestones!$I$11:$I$210,0))="Complete"," [Complete]",""),""))</x:f>
      </x:c>
      <x:c r="G20" s="30" t="str">
        <x:f>IF(MONTH(G19)&lt;&gt;Milestones!$F$6,"",IFERROR(INDEX(Milestones!$B$11:$B$210,MATCH(G19*1000+1,Milestones!$I$11:$I$210,0))&amp;IF(INDEX(Milestones!$F$11:$F$210,MATCH(G19*1000+1,Milestones!$I$11:$I$210,0))="Complete"," [Complete]",""),""))</x:f>
      </x:c>
      <x:c r="H20" s="30" t="str">
        <x:f>IF(MONTH(H19)&lt;&gt;Milestones!$F$6,"",IFERROR(INDEX(Milestones!$B$11:$B$210,MATCH(H19*1000+1,Milestones!$I$11:$I$210,0))&amp;IF(INDEX(Milestones!$F$11:$F$210,MATCH(H19*1000+1,Milestones!$I$11:$I$210,0))="Complete"," [Complete]",""),""))</x:f>
      </x:c>
      <x:c r="I20" s="3"/>
    </x:row>
    <x:row r="21" ht="34" customHeight="1">
      <x:c r="A21" s="3"/>
      <x:c r="B21" s="25" t="str">
        <x:f>IF(MONTH(B19)&lt;&gt;Milestones!$F$6,"",IFERROR(INDEX(Milestones!$B$11:$B$210,MATCH(B19*1000+2,Milestones!$I$11:$I$210,0))&amp;IF(INDEX(Milestones!$F$11:$F$210,MATCH(B19*1000+2,Milestones!$I$11:$I$210,0))="Complete"," [Complete]",""),""))</x:f>
      </x:c>
      <x:c r="C21" s="25" t="str">
        <x:f>IF(MONTH(C19)&lt;&gt;Milestones!$F$6,"",IFERROR(INDEX(Milestones!$B$11:$B$210,MATCH(C19*1000+2,Milestones!$I$11:$I$210,0))&amp;IF(INDEX(Milestones!$F$11:$F$210,MATCH(C19*1000+2,Milestones!$I$11:$I$210,0))="Complete"," [Complete]",""),""))</x:f>
      </x:c>
      <x:c r="D21" s="25" t="str">
        <x:f>IF(MONTH(D19)&lt;&gt;Milestones!$F$6,"",IFERROR(INDEX(Milestones!$B$11:$B$210,MATCH(D19*1000+2,Milestones!$I$11:$I$210,0))&amp;IF(INDEX(Milestones!$F$11:$F$210,MATCH(D19*1000+2,Milestones!$I$11:$I$210,0))="Complete"," [Complete]",""),""))</x:f>
      </x:c>
      <x:c r="E21" s="25" t="str">
        <x:f>IF(MONTH(E19)&lt;&gt;Milestones!$F$6,"",IFERROR(INDEX(Milestones!$B$11:$B$210,MATCH(E19*1000+2,Milestones!$I$11:$I$210,0))&amp;IF(INDEX(Milestones!$F$11:$F$210,MATCH(E19*1000+2,Milestones!$I$11:$I$210,0))="Complete"," [Complete]",""),""))</x:f>
      </x:c>
      <x:c r="F21" s="25" t="str">
        <x:f>IF(MONTH(F19)&lt;&gt;Milestones!$F$6,"",IFERROR(INDEX(Milestones!$B$11:$B$210,MATCH(F19*1000+2,Milestones!$I$11:$I$210,0))&amp;IF(INDEX(Milestones!$F$11:$F$210,MATCH(F19*1000+2,Milestones!$I$11:$I$210,0))="Complete"," [Complete]",""),""))</x:f>
      </x:c>
      <x:c r="G21" s="30" t="str">
        <x:f>IF(MONTH(G19)&lt;&gt;Milestones!$F$6,"",IFERROR(INDEX(Milestones!$B$11:$B$210,MATCH(G19*1000+2,Milestones!$I$11:$I$210,0))&amp;IF(INDEX(Milestones!$F$11:$F$210,MATCH(G19*1000+2,Milestones!$I$11:$I$210,0))="Complete"," [Complete]",""),""))</x:f>
      </x:c>
      <x:c r="H21" s="30" t="str">
        <x:f>IF(MONTH(H19)&lt;&gt;Milestones!$F$6,"",IFERROR(INDEX(Milestones!$B$11:$B$210,MATCH(H19*1000+2,Milestones!$I$11:$I$210,0))&amp;IF(INDEX(Milestones!$F$11:$F$210,MATCH(H19*1000+2,Milestones!$I$11:$I$210,0))="Complete"," [Complete]",""),""))</x:f>
      </x:c>
      <x:c r="I21" s="3"/>
    </x:row>
    <x:row r="22" ht="34" customHeight="1">
      <x:c r="A22" s="3"/>
      <x:c r="B22" s="25" t="str">
        <x:f>IF(MONTH(B19)&lt;&gt;Milestones!$F$6,"",IFERROR(INDEX(Milestones!$B$11:$B$210,MATCH(B19*1000+3,Milestones!$I$11:$I$210,0))&amp;IF(INDEX(Milestones!$F$11:$F$210,MATCH(B19*1000+3,Milestones!$I$11:$I$210,0))="Complete"," [Complete]",""),""))</x:f>
      </x:c>
      <x:c r="C22" s="25" t="str">
        <x:f>IF(MONTH(C19)&lt;&gt;Milestones!$F$6,"",IFERROR(INDEX(Milestones!$B$11:$B$210,MATCH(C19*1000+3,Milestones!$I$11:$I$210,0))&amp;IF(INDEX(Milestones!$F$11:$F$210,MATCH(C19*1000+3,Milestones!$I$11:$I$210,0))="Complete"," [Complete]",""),""))</x:f>
      </x:c>
      <x:c r="D22" s="25" t="str">
        <x:f>IF(MONTH(D19)&lt;&gt;Milestones!$F$6,"",IFERROR(INDEX(Milestones!$B$11:$B$210,MATCH(D19*1000+3,Milestones!$I$11:$I$210,0))&amp;IF(INDEX(Milestones!$F$11:$F$210,MATCH(D19*1000+3,Milestones!$I$11:$I$210,0))="Complete"," [Complete]",""),""))</x:f>
      </x:c>
      <x:c r="E22" s="25" t="str">
        <x:f>IF(MONTH(E19)&lt;&gt;Milestones!$F$6,"",IFERROR(INDEX(Milestones!$B$11:$B$210,MATCH(E19*1000+3,Milestones!$I$11:$I$210,0))&amp;IF(INDEX(Milestones!$F$11:$F$210,MATCH(E19*1000+3,Milestones!$I$11:$I$210,0))="Complete"," [Complete]",""),""))</x:f>
      </x:c>
      <x:c r="F22" s="25" t="str">
        <x:f>IF(MONTH(F19)&lt;&gt;Milestones!$F$6,"",IFERROR(INDEX(Milestones!$B$11:$B$210,MATCH(F19*1000+3,Milestones!$I$11:$I$210,0))&amp;IF(INDEX(Milestones!$F$11:$F$210,MATCH(F19*1000+3,Milestones!$I$11:$I$210,0))="Complete"," [Complete]",""),""))</x:f>
      </x:c>
      <x:c r="G22" s="30" t="str">
        <x:f>IF(MONTH(G19)&lt;&gt;Milestones!$F$6,"",IFERROR(INDEX(Milestones!$B$11:$B$210,MATCH(G19*1000+3,Milestones!$I$11:$I$210,0))&amp;IF(INDEX(Milestones!$F$11:$F$210,MATCH(G19*1000+3,Milestones!$I$11:$I$210,0))="Complete"," [Complete]",""),""))</x:f>
      </x:c>
      <x:c r="H22" s="30" t="str">
        <x:f>IF(MONTH(H19)&lt;&gt;Milestones!$F$6,"",IFERROR(INDEX(Milestones!$B$11:$B$210,MATCH(H19*1000+3,Milestones!$I$11:$I$210,0))&amp;IF(INDEX(Milestones!$F$11:$F$210,MATCH(H19*1000+3,Milestones!$I$11:$I$210,0))="Complete"," [Complete]",""),""))</x:f>
      </x:c>
      <x:c r="I22" s="3"/>
    </x:row>
    <x:row r="23" ht="23" customHeight="1">
      <x:c r="A23" s="3"/>
      <x:c r="B23" s="26" t="str">
        <x:f>IF(MONTH(B19)&lt;&gt;Milestones!$F$6,"",IF(COUNTIFS(Milestones!$C$11:$C$210,B19,Milestones!$B$11:$B$210,"&lt;&gt;",Milestones!$F$11:$F$210,"&lt;&gt;Cancelled")&gt;3,"+ "&amp;(COUNTIFS(Milestones!$C$11:$C$210,B19,Milestones!$B$11:$B$210,"&lt;&gt;",Milestones!$F$11:$F$210,"&lt;&gt;Cancelled")-3)&amp;" more in list",""))</x:f>
      </x:c>
      <x:c r="C23" s="26" t="str">
        <x:f>IF(MONTH(C19)&lt;&gt;Milestones!$F$6,"",IF(COUNTIFS(Milestones!$C$11:$C$210,C19,Milestones!$B$11:$B$210,"&lt;&gt;",Milestones!$F$11:$F$210,"&lt;&gt;Cancelled")&gt;3,"+ "&amp;(COUNTIFS(Milestones!$C$11:$C$210,C19,Milestones!$B$11:$B$210,"&lt;&gt;",Milestones!$F$11:$F$210,"&lt;&gt;Cancelled")-3)&amp;" more in list",""))</x:f>
      </x:c>
      <x:c r="D23" s="26" t="str">
        <x:f>IF(MONTH(D19)&lt;&gt;Milestones!$F$6,"",IF(COUNTIFS(Milestones!$C$11:$C$210,D19,Milestones!$B$11:$B$210,"&lt;&gt;",Milestones!$F$11:$F$210,"&lt;&gt;Cancelled")&gt;3,"+ "&amp;(COUNTIFS(Milestones!$C$11:$C$210,D19,Milestones!$B$11:$B$210,"&lt;&gt;",Milestones!$F$11:$F$210,"&lt;&gt;Cancelled")-3)&amp;" more in list",""))</x:f>
      </x:c>
      <x:c r="E23" s="26" t="str">
        <x:f>IF(MONTH(E19)&lt;&gt;Milestones!$F$6,"",IF(COUNTIFS(Milestones!$C$11:$C$210,E19,Milestones!$B$11:$B$210,"&lt;&gt;",Milestones!$F$11:$F$210,"&lt;&gt;Cancelled")&gt;3,"+ "&amp;(COUNTIFS(Milestones!$C$11:$C$210,E19,Milestones!$B$11:$B$210,"&lt;&gt;",Milestones!$F$11:$F$210,"&lt;&gt;Cancelled")-3)&amp;" more in list",""))</x:f>
      </x:c>
      <x:c r="F23" s="26" t="str">
        <x:f>IF(MONTH(F19)&lt;&gt;Milestones!$F$6,"",IF(COUNTIFS(Milestones!$C$11:$C$210,F19,Milestones!$B$11:$B$210,"&lt;&gt;",Milestones!$F$11:$F$210,"&lt;&gt;Cancelled")&gt;3,"+ "&amp;(COUNTIFS(Milestones!$C$11:$C$210,F19,Milestones!$B$11:$B$210,"&lt;&gt;",Milestones!$F$11:$F$210,"&lt;&gt;Cancelled")-3)&amp;" more in list",""))</x:f>
      </x:c>
      <x:c r="G23" s="31" t="str">
        <x:f>IF(MONTH(G19)&lt;&gt;Milestones!$F$6,"",IF(COUNTIFS(Milestones!$C$11:$C$210,G19,Milestones!$B$11:$B$210,"&lt;&gt;",Milestones!$F$11:$F$210,"&lt;&gt;Cancelled")&gt;3,"+ "&amp;(COUNTIFS(Milestones!$C$11:$C$210,G19,Milestones!$B$11:$B$210,"&lt;&gt;",Milestones!$F$11:$F$210,"&lt;&gt;Cancelled")-3)&amp;" more in list",""))</x:f>
      </x:c>
      <x:c r="H23" s="31" t="str">
        <x:f>IF(MONTH(H19)&lt;&gt;Milestones!$F$6,"",IF(COUNTIFS(Milestones!$C$11:$C$210,H19,Milestones!$B$11:$B$210,"&lt;&gt;",Milestones!$F$11:$F$210,"&lt;&gt;Cancelled")&gt;3,"+ "&amp;(COUNTIFS(Milestones!$C$11:$C$210,H19,Milestones!$B$11:$B$210,"&lt;&gt;",Milestones!$F$11:$F$210,"&lt;&gt;Cancelled")-3)&amp;" more in list",""))</x:f>
      </x:c>
      <x:c r="I23" s="3"/>
    </x:row>
    <x:row r="24" ht="25" customHeight="1">
      <x:c r="A24" s="3"/>
      <x:c r="B24" s="21" t="n">
        <x:f>DATE(Milestones!$C$6,Milestones!$F$6,1)-WEEKDAY(DATE(Milestones!$C$6,Milestones!$F$6,1),2)+1+21</x:f>
        <x:v>46678</x:v>
      </x:c>
      <x:c r="C24" s="21" t="n">
        <x:f>DATE(Milestones!$C$6,Milestones!$F$6,1)-WEEKDAY(DATE(Milestones!$C$6,Milestones!$F$6,1),2)+1+22</x:f>
        <x:v>46679</x:v>
      </x:c>
      <x:c r="D24" s="21" t="n">
        <x:f>DATE(Milestones!$C$6,Milestones!$F$6,1)-WEEKDAY(DATE(Milestones!$C$6,Milestones!$F$6,1),2)+1+23</x:f>
        <x:v>46680</x:v>
      </x:c>
      <x:c r="E24" s="21" t="n">
        <x:f>DATE(Milestones!$C$6,Milestones!$F$6,1)-WEEKDAY(DATE(Milestones!$C$6,Milestones!$F$6,1),2)+1+24</x:f>
        <x:v>46681</x:v>
      </x:c>
      <x:c r="F24" s="21" t="n">
        <x:f>DATE(Milestones!$C$6,Milestones!$F$6,1)-WEEKDAY(DATE(Milestones!$C$6,Milestones!$F$6,1),2)+1+25</x:f>
        <x:v>46682</x:v>
      </x:c>
      <x:c r="G24" s="21" t="n">
        <x:f>DATE(Milestones!$C$6,Milestones!$F$6,1)-WEEKDAY(DATE(Milestones!$C$6,Milestones!$F$6,1),2)+1+26</x:f>
        <x:v>46683</x:v>
      </x:c>
      <x:c r="H24" s="21" t="n">
        <x:f>DATE(Milestones!$C$6,Milestones!$F$6,1)-WEEKDAY(DATE(Milestones!$C$6,Milestones!$F$6,1),2)+1+27</x:f>
        <x:v>46684</x:v>
      </x:c>
      <x:c r="I24" s="3"/>
    </x:row>
    <x:row r="25" ht="34" customHeight="1">
      <x:c r="A25" s="3"/>
      <x:c r="B25" s="25" t="str">
        <x:f>IF(MONTH(B24)&lt;&gt;Milestones!$F$6,"",IFERROR(INDEX(Milestones!$B$11:$B$210,MATCH(B24*1000+1,Milestones!$I$11:$I$210,0))&amp;IF(INDEX(Milestones!$F$11:$F$210,MATCH(B24*1000+1,Milestones!$I$11:$I$210,0))="Complete"," [Complete]",""),""))</x:f>
      </x:c>
      <x:c r="C25" s="25" t="str">
        <x:f>IF(MONTH(C24)&lt;&gt;Milestones!$F$6,"",IFERROR(INDEX(Milestones!$B$11:$B$210,MATCH(C24*1000+1,Milestones!$I$11:$I$210,0))&amp;IF(INDEX(Milestones!$F$11:$F$210,MATCH(C24*1000+1,Milestones!$I$11:$I$210,0))="Complete"," [Complete]",""),""))</x:f>
        <x:v>Security review</x:v>
      </x:c>
      <x:c r="D25" s="25" t="str">
        <x:f>IF(MONTH(D24)&lt;&gt;Milestones!$F$6,"",IFERROR(INDEX(Milestones!$B$11:$B$210,MATCH(D24*1000+1,Milestones!$I$11:$I$210,0))&amp;IF(INDEX(Milestones!$F$11:$F$210,MATCH(D24*1000+1,Milestones!$I$11:$I$210,0))="Complete"," [Complete]",""),""))</x:f>
      </x:c>
      <x:c r="E25" s="25" t="str">
        <x:f>IF(MONTH(E24)&lt;&gt;Milestones!$F$6,"",IFERROR(INDEX(Milestones!$B$11:$B$210,MATCH(E24*1000+1,Milestones!$I$11:$I$210,0))&amp;IF(INDEX(Milestones!$F$11:$F$210,MATCH(E24*1000+1,Milestones!$I$11:$I$210,0))="Complete"," [Complete]",""),""))</x:f>
      </x:c>
      <x:c r="F25" s="25" t="str">
        <x:f>IF(MONTH(F24)&lt;&gt;Milestones!$F$6,"",IFERROR(INDEX(Milestones!$B$11:$B$210,MATCH(F24*1000+1,Milestones!$I$11:$I$210,0))&amp;IF(INDEX(Milestones!$F$11:$F$210,MATCH(F24*1000+1,Milestones!$I$11:$I$210,0))="Complete"," [Complete]",""),""))</x:f>
        <x:v>UAT signed off</x:v>
      </x:c>
      <x:c r="G25" s="30" t="str">
        <x:f>IF(MONTH(G24)&lt;&gt;Milestones!$F$6,"",IFERROR(INDEX(Milestones!$B$11:$B$210,MATCH(G24*1000+1,Milestones!$I$11:$I$210,0))&amp;IF(INDEX(Milestones!$F$11:$F$210,MATCH(G24*1000+1,Milestones!$I$11:$I$210,0))="Complete"," [Complete]",""),""))</x:f>
      </x:c>
      <x:c r="H25" s="30" t="str">
        <x:f>IF(MONTH(H24)&lt;&gt;Milestones!$F$6,"",IFERROR(INDEX(Milestones!$B$11:$B$210,MATCH(H24*1000+1,Milestones!$I$11:$I$210,0))&amp;IF(INDEX(Milestones!$F$11:$F$210,MATCH(H24*1000+1,Milestones!$I$11:$I$210,0))="Complete"," [Complete]",""),""))</x:f>
      </x:c>
      <x:c r="I25" s="3"/>
    </x:row>
    <x:row r="26" ht="34" customHeight="1">
      <x:c r="A26" s="3"/>
      <x:c r="B26" s="25" t="str">
        <x:f>IF(MONTH(B24)&lt;&gt;Milestones!$F$6,"",IFERROR(INDEX(Milestones!$B$11:$B$210,MATCH(B24*1000+2,Milestones!$I$11:$I$210,0))&amp;IF(INDEX(Milestones!$F$11:$F$210,MATCH(B24*1000+2,Milestones!$I$11:$I$210,0))="Complete"," [Complete]",""),""))</x:f>
      </x:c>
      <x:c r="C26" s="25" t="str">
        <x:f>IF(MONTH(C24)&lt;&gt;Milestones!$F$6,"",IFERROR(INDEX(Milestones!$B$11:$B$210,MATCH(C24*1000+2,Milestones!$I$11:$I$210,0))&amp;IF(INDEX(Milestones!$F$11:$F$210,MATCH(C24*1000+2,Milestones!$I$11:$I$210,0))="Complete"," [Complete]",""),""))</x:f>
      </x:c>
      <x:c r="D26" s="25" t="str">
        <x:f>IF(MONTH(D24)&lt;&gt;Milestones!$F$6,"",IFERROR(INDEX(Milestones!$B$11:$B$210,MATCH(D24*1000+2,Milestones!$I$11:$I$210,0))&amp;IF(INDEX(Milestones!$F$11:$F$210,MATCH(D24*1000+2,Milestones!$I$11:$I$210,0))="Complete"," [Complete]",""),""))</x:f>
      </x:c>
      <x:c r="E26" s="25" t="str">
        <x:f>IF(MONTH(E24)&lt;&gt;Milestones!$F$6,"",IFERROR(INDEX(Milestones!$B$11:$B$210,MATCH(E24*1000+2,Milestones!$I$11:$I$210,0))&amp;IF(INDEX(Milestones!$F$11:$F$210,MATCH(E24*1000+2,Milestones!$I$11:$I$210,0))="Complete"," [Complete]",""),""))</x:f>
      </x:c>
      <x:c r="F26" s="25" t="str">
        <x:f>IF(MONTH(F24)&lt;&gt;Milestones!$F$6,"",IFERROR(INDEX(Milestones!$B$11:$B$210,MATCH(F24*1000+2,Milestones!$I$11:$I$210,0))&amp;IF(INDEX(Milestones!$F$11:$F$210,MATCH(F24*1000+2,Milestones!$I$11:$I$210,0))="Complete"," [Complete]",""),""))</x:f>
      </x:c>
      <x:c r="G26" s="30" t="str">
        <x:f>IF(MONTH(G24)&lt;&gt;Milestones!$F$6,"",IFERROR(INDEX(Milestones!$B$11:$B$210,MATCH(G24*1000+2,Milestones!$I$11:$I$210,0))&amp;IF(INDEX(Milestones!$F$11:$F$210,MATCH(G24*1000+2,Milestones!$I$11:$I$210,0))="Complete"," [Complete]",""),""))</x:f>
      </x:c>
      <x:c r="H26" s="30" t="str">
        <x:f>IF(MONTH(H24)&lt;&gt;Milestones!$F$6,"",IFERROR(INDEX(Milestones!$B$11:$B$210,MATCH(H24*1000+2,Milestones!$I$11:$I$210,0))&amp;IF(INDEX(Milestones!$F$11:$F$210,MATCH(H24*1000+2,Milestones!$I$11:$I$210,0))="Complete"," [Complete]",""),""))</x:f>
      </x:c>
      <x:c r="I26" s="3"/>
    </x:row>
    <x:row r="27" ht="34" customHeight="1">
      <x:c r="A27" s="3"/>
      <x:c r="B27" s="25" t="str">
        <x:f>IF(MONTH(B24)&lt;&gt;Milestones!$F$6,"",IFERROR(INDEX(Milestones!$B$11:$B$210,MATCH(B24*1000+3,Milestones!$I$11:$I$210,0))&amp;IF(INDEX(Milestones!$F$11:$F$210,MATCH(B24*1000+3,Milestones!$I$11:$I$210,0))="Complete"," [Complete]",""),""))</x:f>
      </x:c>
      <x:c r="C27" s="25" t="str">
        <x:f>IF(MONTH(C24)&lt;&gt;Milestones!$F$6,"",IFERROR(INDEX(Milestones!$B$11:$B$210,MATCH(C24*1000+3,Milestones!$I$11:$I$210,0))&amp;IF(INDEX(Milestones!$F$11:$F$210,MATCH(C24*1000+3,Milestones!$I$11:$I$210,0))="Complete"," [Complete]",""),""))</x:f>
      </x:c>
      <x:c r="D27" s="25" t="str">
        <x:f>IF(MONTH(D24)&lt;&gt;Milestones!$F$6,"",IFERROR(INDEX(Milestones!$B$11:$B$210,MATCH(D24*1000+3,Milestones!$I$11:$I$210,0))&amp;IF(INDEX(Milestones!$F$11:$F$210,MATCH(D24*1000+3,Milestones!$I$11:$I$210,0))="Complete"," [Complete]",""),""))</x:f>
      </x:c>
      <x:c r="E27" s="25" t="str">
        <x:f>IF(MONTH(E24)&lt;&gt;Milestones!$F$6,"",IFERROR(INDEX(Milestones!$B$11:$B$210,MATCH(E24*1000+3,Milestones!$I$11:$I$210,0))&amp;IF(INDEX(Milestones!$F$11:$F$210,MATCH(E24*1000+3,Milestones!$I$11:$I$210,0))="Complete"," [Complete]",""),""))</x:f>
      </x:c>
      <x:c r="F27" s="25" t="str">
        <x:f>IF(MONTH(F24)&lt;&gt;Milestones!$F$6,"",IFERROR(INDEX(Milestones!$B$11:$B$210,MATCH(F24*1000+3,Milestones!$I$11:$I$210,0))&amp;IF(INDEX(Milestones!$F$11:$F$210,MATCH(F24*1000+3,Milestones!$I$11:$I$210,0))="Complete"," [Complete]",""),""))</x:f>
      </x:c>
      <x:c r="G27" s="30" t="str">
        <x:f>IF(MONTH(G24)&lt;&gt;Milestones!$F$6,"",IFERROR(INDEX(Milestones!$B$11:$B$210,MATCH(G24*1000+3,Milestones!$I$11:$I$210,0))&amp;IF(INDEX(Milestones!$F$11:$F$210,MATCH(G24*1000+3,Milestones!$I$11:$I$210,0))="Complete"," [Complete]",""),""))</x:f>
      </x:c>
      <x:c r="H27" s="30" t="str">
        <x:f>IF(MONTH(H24)&lt;&gt;Milestones!$F$6,"",IFERROR(INDEX(Milestones!$B$11:$B$210,MATCH(H24*1000+3,Milestones!$I$11:$I$210,0))&amp;IF(INDEX(Milestones!$F$11:$F$210,MATCH(H24*1000+3,Milestones!$I$11:$I$210,0))="Complete"," [Complete]",""),""))</x:f>
      </x:c>
      <x:c r="I27" s="3"/>
    </x:row>
    <x:row r="28" ht="23" customHeight="1">
      <x:c r="A28" s="3"/>
      <x:c r="B28" s="26" t="str">
        <x:f>IF(MONTH(B24)&lt;&gt;Milestones!$F$6,"",IF(COUNTIFS(Milestones!$C$11:$C$210,B24,Milestones!$B$11:$B$210,"&lt;&gt;",Milestones!$F$11:$F$210,"&lt;&gt;Cancelled")&gt;3,"+ "&amp;(COUNTIFS(Milestones!$C$11:$C$210,B24,Milestones!$B$11:$B$210,"&lt;&gt;",Milestones!$F$11:$F$210,"&lt;&gt;Cancelled")-3)&amp;" more in list",""))</x:f>
      </x:c>
      <x:c r="C28" s="26" t="str">
        <x:f>IF(MONTH(C24)&lt;&gt;Milestones!$F$6,"",IF(COUNTIFS(Milestones!$C$11:$C$210,C24,Milestones!$B$11:$B$210,"&lt;&gt;",Milestones!$F$11:$F$210,"&lt;&gt;Cancelled")&gt;3,"+ "&amp;(COUNTIFS(Milestones!$C$11:$C$210,C24,Milestones!$B$11:$B$210,"&lt;&gt;",Milestones!$F$11:$F$210,"&lt;&gt;Cancelled")-3)&amp;" more in list",""))</x:f>
      </x:c>
      <x:c r="D28" s="26" t="str">
        <x:f>IF(MONTH(D24)&lt;&gt;Milestones!$F$6,"",IF(COUNTIFS(Milestones!$C$11:$C$210,D24,Milestones!$B$11:$B$210,"&lt;&gt;",Milestones!$F$11:$F$210,"&lt;&gt;Cancelled")&gt;3,"+ "&amp;(COUNTIFS(Milestones!$C$11:$C$210,D24,Milestones!$B$11:$B$210,"&lt;&gt;",Milestones!$F$11:$F$210,"&lt;&gt;Cancelled")-3)&amp;" more in list",""))</x:f>
      </x:c>
      <x:c r="E28" s="26" t="str">
        <x:f>IF(MONTH(E24)&lt;&gt;Milestones!$F$6,"",IF(COUNTIFS(Milestones!$C$11:$C$210,E24,Milestones!$B$11:$B$210,"&lt;&gt;",Milestones!$F$11:$F$210,"&lt;&gt;Cancelled")&gt;3,"+ "&amp;(COUNTIFS(Milestones!$C$11:$C$210,E24,Milestones!$B$11:$B$210,"&lt;&gt;",Milestones!$F$11:$F$210,"&lt;&gt;Cancelled")-3)&amp;" more in list",""))</x:f>
      </x:c>
      <x:c r="F28" s="26" t="str">
        <x:f>IF(MONTH(F24)&lt;&gt;Milestones!$F$6,"",IF(COUNTIFS(Milestones!$C$11:$C$210,F24,Milestones!$B$11:$B$210,"&lt;&gt;",Milestones!$F$11:$F$210,"&lt;&gt;Cancelled")&gt;3,"+ "&amp;(COUNTIFS(Milestones!$C$11:$C$210,F24,Milestones!$B$11:$B$210,"&lt;&gt;",Milestones!$F$11:$F$210,"&lt;&gt;Cancelled")-3)&amp;" more in list",""))</x:f>
      </x:c>
      <x:c r="G28" s="31" t="str">
        <x:f>IF(MONTH(G24)&lt;&gt;Milestones!$F$6,"",IF(COUNTIFS(Milestones!$C$11:$C$210,G24,Milestones!$B$11:$B$210,"&lt;&gt;",Milestones!$F$11:$F$210,"&lt;&gt;Cancelled")&gt;3,"+ "&amp;(COUNTIFS(Milestones!$C$11:$C$210,G24,Milestones!$B$11:$B$210,"&lt;&gt;",Milestones!$F$11:$F$210,"&lt;&gt;Cancelled")-3)&amp;" more in list",""))</x:f>
      </x:c>
      <x:c r="H28" s="31" t="str">
        <x:f>IF(MONTH(H24)&lt;&gt;Milestones!$F$6,"",IF(COUNTIFS(Milestones!$C$11:$C$210,H24,Milestones!$B$11:$B$210,"&lt;&gt;",Milestones!$F$11:$F$210,"&lt;&gt;Cancelled")&gt;3,"+ "&amp;(COUNTIFS(Milestones!$C$11:$C$210,H24,Milestones!$B$11:$B$210,"&lt;&gt;",Milestones!$F$11:$F$210,"&lt;&gt;Cancelled")-3)&amp;" more in list",""))</x:f>
      </x:c>
      <x:c r="I28" s="3"/>
    </x:row>
    <x:row r="29" ht="25" customHeight="1">
      <x:c r="A29" s="3"/>
      <x:c r="B29" s="21" t="n">
        <x:f>DATE(Milestones!$C$6,Milestones!$F$6,1)-WEEKDAY(DATE(Milestones!$C$6,Milestones!$F$6,1),2)+1+28</x:f>
        <x:v>46685</x:v>
      </x:c>
      <x:c r="C29" s="21" t="n">
        <x:f>DATE(Milestones!$C$6,Milestones!$F$6,1)-WEEKDAY(DATE(Milestones!$C$6,Milestones!$F$6,1),2)+1+29</x:f>
        <x:v>46686</x:v>
      </x:c>
      <x:c r="D29" s="21" t="n">
        <x:f>DATE(Milestones!$C$6,Milestones!$F$6,1)-WEEKDAY(DATE(Milestones!$C$6,Milestones!$F$6,1),2)+1+30</x:f>
        <x:v>46687</x:v>
      </x:c>
      <x:c r="E29" s="21" t="n">
        <x:f>DATE(Milestones!$C$6,Milestones!$F$6,1)-WEEKDAY(DATE(Milestones!$C$6,Milestones!$F$6,1),2)+1+31</x:f>
        <x:v>46688</x:v>
      </x:c>
      <x:c r="F29" s="21" t="n">
        <x:f>DATE(Milestones!$C$6,Milestones!$F$6,1)-WEEKDAY(DATE(Milestones!$C$6,Milestones!$F$6,1),2)+1+32</x:f>
        <x:v>46689</x:v>
      </x:c>
      <x:c r="G29" s="21" t="n">
        <x:f>DATE(Milestones!$C$6,Milestones!$F$6,1)-WEEKDAY(DATE(Milestones!$C$6,Milestones!$F$6,1),2)+1+33</x:f>
        <x:v>46690</x:v>
      </x:c>
      <x:c r="H29" s="21" t="n">
        <x:f>DATE(Milestones!$C$6,Milestones!$F$6,1)-WEEKDAY(DATE(Milestones!$C$6,Milestones!$F$6,1),2)+1+34</x:f>
        <x:v>46691</x:v>
      </x:c>
      <x:c r="I29" s="3"/>
    </x:row>
    <x:row r="30" ht="34" customHeight="1">
      <x:c r="A30" s="3"/>
      <x:c r="B30" s="25" t="str">
        <x:f>IF(MONTH(B29)&lt;&gt;Milestones!$F$6,"",IFERROR(INDEX(Milestones!$B$11:$B$210,MATCH(B29*1000+1,Milestones!$I$11:$I$210,0))&amp;IF(INDEX(Milestones!$F$11:$F$210,MATCH(B29*1000+1,Milestones!$I$11:$I$210,0))="Complete"," [Complete]",""),""))</x:f>
      </x:c>
      <x:c r="C30" s="25" t="str">
        <x:f>IF(MONTH(C29)&lt;&gt;Milestones!$F$6,"",IFERROR(INDEX(Milestones!$B$11:$B$210,MATCH(C29*1000+1,Milestones!$I$11:$I$210,0))&amp;IF(INDEX(Milestones!$F$11:$F$210,MATCH(C29*1000+1,Milestones!$I$11:$I$210,0))="Complete"," [Complete]",""),""))</x:f>
        <x:v>Training complete</x:v>
      </x:c>
      <x:c r="D30" s="25" t="str">
        <x:f>IF(MONTH(D29)&lt;&gt;Milestones!$F$6,"",IFERROR(INDEX(Milestones!$B$11:$B$210,MATCH(D29*1000+1,Milestones!$I$11:$I$210,0))&amp;IF(INDEX(Milestones!$F$11:$F$210,MATCH(D29*1000+1,Milestones!$I$11:$I$210,0))="Complete"," [Complete]",""),""))</x:f>
      </x:c>
      <x:c r="E30" s="25" t="str">
        <x:f>IF(MONTH(E29)&lt;&gt;Milestones!$F$6,"",IFERROR(INDEX(Milestones!$B$11:$B$210,MATCH(E29*1000+1,Milestones!$I$11:$I$210,0))&amp;IF(INDEX(Milestones!$F$11:$F$210,MATCH(E29*1000+1,Milestones!$I$11:$I$210,0))="Complete"," [Complete]",""),""))</x:f>
        <x:v>Go / no-go decision</x:v>
      </x:c>
      <x:c r="F30" s="25" t="str">
        <x:f>IF(MONTH(F29)&lt;&gt;Milestones!$F$6,"",IFERROR(INDEX(Milestones!$B$11:$B$210,MATCH(F29*1000+1,Milestones!$I$11:$I$210,0))&amp;IF(INDEX(Milestones!$F$11:$F$210,MATCH(F29*1000+1,Milestones!$I$11:$I$210,0))="Complete"," [Complete]",""),""))</x:f>
      </x:c>
      <x:c r="G30" s="30" t="str">
        <x:f>IF(MONTH(G29)&lt;&gt;Milestones!$F$6,"",IFERROR(INDEX(Milestones!$B$11:$B$210,MATCH(G29*1000+1,Milestones!$I$11:$I$210,0))&amp;IF(INDEX(Milestones!$F$11:$F$210,MATCH(G29*1000+1,Milestones!$I$11:$I$210,0))="Complete"," [Complete]",""),""))</x:f>
        <x:v>Launch</x:v>
      </x:c>
      <x:c r="H30" s="30" t="str">
        <x:f>IF(MONTH(H29)&lt;&gt;Milestones!$F$6,"",IFERROR(INDEX(Milestones!$B$11:$B$210,MATCH(H29*1000+1,Milestones!$I$11:$I$210,0))&amp;IF(INDEX(Milestones!$F$11:$F$210,MATCH(H29*1000+1,Milestones!$I$11:$I$210,0))="Complete"," [Complete]",""),""))</x:f>
      </x:c>
      <x:c r="I30" s="3"/>
    </x:row>
    <x:row r="31" ht="34" customHeight="1">
      <x:c r="A31" s="3"/>
      <x:c r="B31" s="25" t="str">
        <x:f>IF(MONTH(B29)&lt;&gt;Milestones!$F$6,"",IFERROR(INDEX(Milestones!$B$11:$B$210,MATCH(B29*1000+2,Milestones!$I$11:$I$210,0))&amp;IF(INDEX(Milestones!$F$11:$F$210,MATCH(B29*1000+2,Milestones!$I$11:$I$210,0))="Complete"," [Complete]",""),""))</x:f>
      </x:c>
      <x:c r="C31" s="25" t="str">
        <x:f>IF(MONTH(C29)&lt;&gt;Milestones!$F$6,"",IFERROR(INDEX(Milestones!$B$11:$B$210,MATCH(C29*1000+2,Milestones!$I$11:$I$210,0))&amp;IF(INDEX(Milestones!$F$11:$F$210,MATCH(C29*1000+2,Milestones!$I$11:$I$210,0))="Complete"," [Complete]",""),""))</x:f>
      </x:c>
      <x:c r="D31" s="25" t="str">
        <x:f>IF(MONTH(D29)&lt;&gt;Milestones!$F$6,"",IFERROR(INDEX(Milestones!$B$11:$B$210,MATCH(D29*1000+2,Milestones!$I$11:$I$210,0))&amp;IF(INDEX(Milestones!$F$11:$F$210,MATCH(D29*1000+2,Milestones!$I$11:$I$210,0))="Complete"," [Complete]",""),""))</x:f>
      </x:c>
      <x:c r="E31" s="25" t="str">
        <x:f>IF(MONTH(E29)&lt;&gt;Milestones!$F$6,"",IFERROR(INDEX(Milestones!$B$11:$B$210,MATCH(E29*1000+2,Milestones!$I$11:$I$210,0))&amp;IF(INDEX(Milestones!$F$11:$F$210,MATCH(E29*1000+2,Milestones!$I$11:$I$210,0))="Complete"," [Complete]",""),""))</x:f>
      </x:c>
      <x:c r="F31" s="25" t="str">
        <x:f>IF(MONTH(F29)&lt;&gt;Milestones!$F$6,"",IFERROR(INDEX(Milestones!$B$11:$B$210,MATCH(F29*1000+2,Milestones!$I$11:$I$210,0))&amp;IF(INDEX(Milestones!$F$11:$F$210,MATCH(F29*1000+2,Milestones!$I$11:$I$210,0))="Complete"," [Complete]",""),""))</x:f>
      </x:c>
      <x:c r="G31" s="30" t="str">
        <x:f>IF(MONTH(G29)&lt;&gt;Milestones!$F$6,"",IFERROR(INDEX(Milestones!$B$11:$B$210,MATCH(G29*1000+2,Milestones!$I$11:$I$210,0))&amp;IF(INDEX(Milestones!$F$11:$F$210,MATCH(G29*1000+2,Milestones!$I$11:$I$210,0))="Complete"," [Complete]",""),""))</x:f>
        <x:v>Support handover</x:v>
      </x:c>
      <x:c r="H31" s="30" t="str">
        <x:f>IF(MONTH(H29)&lt;&gt;Milestones!$F$6,"",IFERROR(INDEX(Milestones!$B$11:$B$210,MATCH(H29*1000+2,Milestones!$I$11:$I$210,0))&amp;IF(INDEX(Milestones!$F$11:$F$210,MATCH(H29*1000+2,Milestones!$I$11:$I$210,0))="Complete"," [Complete]",""),""))</x:f>
      </x:c>
      <x:c r="I31" s="3"/>
    </x:row>
    <x:row r="32" ht="34" customHeight="1">
      <x:c r="A32" s="3"/>
      <x:c r="B32" s="25" t="str">
        <x:f>IF(MONTH(B29)&lt;&gt;Milestones!$F$6,"",IFERROR(INDEX(Milestones!$B$11:$B$210,MATCH(B29*1000+3,Milestones!$I$11:$I$210,0))&amp;IF(INDEX(Milestones!$F$11:$F$210,MATCH(B29*1000+3,Milestones!$I$11:$I$210,0))="Complete"," [Complete]",""),""))</x:f>
      </x:c>
      <x:c r="C32" s="25" t="str">
        <x:f>IF(MONTH(C29)&lt;&gt;Milestones!$F$6,"",IFERROR(INDEX(Milestones!$B$11:$B$210,MATCH(C29*1000+3,Milestones!$I$11:$I$210,0))&amp;IF(INDEX(Milestones!$F$11:$F$210,MATCH(C29*1000+3,Milestones!$I$11:$I$210,0))="Complete"," [Complete]",""),""))</x:f>
      </x:c>
      <x:c r="D32" s="25" t="str">
        <x:f>IF(MONTH(D29)&lt;&gt;Milestones!$F$6,"",IFERROR(INDEX(Milestones!$B$11:$B$210,MATCH(D29*1000+3,Milestones!$I$11:$I$210,0))&amp;IF(INDEX(Milestones!$F$11:$F$210,MATCH(D29*1000+3,Milestones!$I$11:$I$210,0))="Complete"," [Complete]",""),""))</x:f>
      </x:c>
      <x:c r="E32" s="25" t="str">
        <x:f>IF(MONTH(E29)&lt;&gt;Milestones!$F$6,"",IFERROR(INDEX(Milestones!$B$11:$B$210,MATCH(E29*1000+3,Milestones!$I$11:$I$210,0))&amp;IF(INDEX(Milestones!$F$11:$F$210,MATCH(E29*1000+3,Milestones!$I$11:$I$210,0))="Complete"," [Complete]",""),""))</x:f>
      </x:c>
      <x:c r="F32" s="25" t="str">
        <x:f>IF(MONTH(F29)&lt;&gt;Milestones!$F$6,"",IFERROR(INDEX(Milestones!$B$11:$B$210,MATCH(F29*1000+3,Milestones!$I$11:$I$210,0))&amp;IF(INDEX(Milestones!$F$11:$F$210,MATCH(F29*1000+3,Milestones!$I$11:$I$210,0))="Complete"," [Complete]",""),""))</x:f>
      </x:c>
      <x:c r="G32" s="30" t="str">
        <x:f>IF(MONTH(G29)&lt;&gt;Milestones!$F$6,"",IFERROR(INDEX(Milestones!$B$11:$B$210,MATCH(G29*1000+3,Milestones!$I$11:$I$210,0))&amp;IF(INDEX(Milestones!$F$11:$F$210,MATCH(G29*1000+3,Milestones!$I$11:$I$210,0))="Complete"," [Complete]",""),""))</x:f>
        <x:v>Launch communications</x:v>
      </x:c>
      <x:c r="H32" s="30" t="str">
        <x:f>IF(MONTH(H29)&lt;&gt;Milestones!$F$6,"",IFERROR(INDEX(Milestones!$B$11:$B$210,MATCH(H29*1000+3,Milestones!$I$11:$I$210,0))&amp;IF(INDEX(Milestones!$F$11:$F$210,MATCH(H29*1000+3,Milestones!$I$11:$I$210,0))="Complete"," [Complete]",""),""))</x:f>
      </x:c>
      <x:c r="I32" s="3"/>
    </x:row>
    <x:row r="33" ht="23" customHeight="1">
      <x:c r="A33" s="3"/>
      <x:c r="B33" s="26" t="str">
        <x:f>IF(MONTH(B29)&lt;&gt;Milestones!$F$6,"",IF(COUNTIFS(Milestones!$C$11:$C$210,B29,Milestones!$B$11:$B$210,"&lt;&gt;",Milestones!$F$11:$F$210,"&lt;&gt;Cancelled")&gt;3,"+ "&amp;(COUNTIFS(Milestones!$C$11:$C$210,B29,Milestones!$B$11:$B$210,"&lt;&gt;",Milestones!$F$11:$F$210,"&lt;&gt;Cancelled")-3)&amp;" more in list",""))</x:f>
      </x:c>
      <x:c r="C33" s="26" t="str">
        <x:f>IF(MONTH(C29)&lt;&gt;Milestones!$F$6,"",IF(COUNTIFS(Milestones!$C$11:$C$210,C29,Milestones!$B$11:$B$210,"&lt;&gt;",Milestones!$F$11:$F$210,"&lt;&gt;Cancelled")&gt;3,"+ "&amp;(COUNTIFS(Milestones!$C$11:$C$210,C29,Milestones!$B$11:$B$210,"&lt;&gt;",Milestones!$F$11:$F$210,"&lt;&gt;Cancelled")-3)&amp;" more in list",""))</x:f>
      </x:c>
      <x:c r="D33" s="26" t="str">
        <x:f>IF(MONTH(D29)&lt;&gt;Milestones!$F$6,"",IF(COUNTIFS(Milestones!$C$11:$C$210,D29,Milestones!$B$11:$B$210,"&lt;&gt;",Milestones!$F$11:$F$210,"&lt;&gt;Cancelled")&gt;3,"+ "&amp;(COUNTIFS(Milestones!$C$11:$C$210,D29,Milestones!$B$11:$B$210,"&lt;&gt;",Milestones!$F$11:$F$210,"&lt;&gt;Cancelled")-3)&amp;" more in list",""))</x:f>
      </x:c>
      <x:c r="E33" s="26" t="str">
        <x:f>IF(MONTH(E29)&lt;&gt;Milestones!$F$6,"",IF(COUNTIFS(Milestones!$C$11:$C$210,E29,Milestones!$B$11:$B$210,"&lt;&gt;",Milestones!$F$11:$F$210,"&lt;&gt;Cancelled")&gt;3,"+ "&amp;(COUNTIFS(Milestones!$C$11:$C$210,E29,Milestones!$B$11:$B$210,"&lt;&gt;",Milestones!$F$11:$F$210,"&lt;&gt;Cancelled")-3)&amp;" more in list",""))</x:f>
      </x:c>
      <x:c r="F33" s="26" t="str">
        <x:f>IF(MONTH(F29)&lt;&gt;Milestones!$F$6,"",IF(COUNTIFS(Milestones!$C$11:$C$210,F29,Milestones!$B$11:$B$210,"&lt;&gt;",Milestones!$F$11:$F$210,"&lt;&gt;Cancelled")&gt;3,"+ "&amp;(COUNTIFS(Milestones!$C$11:$C$210,F29,Milestones!$B$11:$B$210,"&lt;&gt;",Milestones!$F$11:$F$210,"&lt;&gt;Cancelled")-3)&amp;" more in list",""))</x:f>
      </x:c>
      <x:c r="G33" s="31" t="str">
        <x:f>IF(MONTH(G29)&lt;&gt;Milestones!$F$6,"",IF(COUNTIFS(Milestones!$C$11:$C$210,G29,Milestones!$B$11:$B$210,"&lt;&gt;",Milestones!$F$11:$F$210,"&lt;&gt;Cancelled")&gt;3,"+ "&amp;(COUNTIFS(Milestones!$C$11:$C$210,G29,Milestones!$B$11:$B$210,"&lt;&gt;",Milestones!$F$11:$F$210,"&lt;&gt;Cancelled")-3)&amp;" more in list",""))</x:f>
        <x:v>+ 1 more in list</x:v>
      </x:c>
      <x:c r="H33" s="31" t="str">
        <x:f>IF(MONTH(H29)&lt;&gt;Milestones!$F$6,"",IF(COUNTIFS(Milestones!$C$11:$C$210,H29,Milestones!$B$11:$B$210,"&lt;&gt;",Milestones!$F$11:$F$210,"&lt;&gt;Cancelled")&gt;3,"+ "&amp;(COUNTIFS(Milestones!$C$11:$C$210,H29,Milestones!$B$11:$B$210,"&lt;&gt;",Milestones!$F$11:$F$210,"&lt;&gt;Cancelled")-3)&amp;" more in list",""))</x:f>
      </x:c>
      <x:c r="I33" s="3"/>
    </x:row>
    <x:row r="34" ht="25" customHeight="1">
      <x:c r="A34" s="3"/>
      <x:c r="B34" s="21" t="n">
        <x:f>DATE(Milestones!$C$6,Milestones!$F$6,1)-WEEKDAY(DATE(Milestones!$C$6,Milestones!$F$6,1),2)+1+35</x:f>
        <x:v>46692</x:v>
      </x:c>
      <x:c r="C34" s="21" t="n">
        <x:f>DATE(Milestones!$C$6,Milestones!$F$6,1)-WEEKDAY(DATE(Milestones!$C$6,Milestones!$F$6,1),2)+1+36</x:f>
        <x:v>46693</x:v>
      </x:c>
      <x:c r="D34" s="21" t="n">
        <x:f>DATE(Milestones!$C$6,Milestones!$F$6,1)-WEEKDAY(DATE(Milestones!$C$6,Milestones!$F$6,1),2)+1+37</x:f>
        <x:v>46694</x:v>
      </x:c>
      <x:c r="E34" s="21" t="n">
        <x:f>DATE(Milestones!$C$6,Milestones!$F$6,1)-WEEKDAY(DATE(Milestones!$C$6,Milestones!$F$6,1),2)+1+38</x:f>
        <x:v>46695</x:v>
      </x:c>
      <x:c r="F34" s="21" t="n">
        <x:f>DATE(Milestones!$C$6,Milestones!$F$6,1)-WEEKDAY(DATE(Milestones!$C$6,Milestones!$F$6,1),2)+1+39</x:f>
        <x:v>46696</x:v>
      </x:c>
      <x:c r="G34" s="21" t="n">
        <x:f>DATE(Milestones!$C$6,Milestones!$F$6,1)-WEEKDAY(DATE(Milestones!$C$6,Milestones!$F$6,1),2)+1+40</x:f>
        <x:v>46697</x:v>
      </x:c>
      <x:c r="H34" s="21" t="n">
        <x:f>DATE(Milestones!$C$6,Milestones!$F$6,1)-WEEKDAY(DATE(Milestones!$C$6,Milestones!$F$6,1),2)+1+41</x:f>
        <x:v>46698</x:v>
      </x:c>
      <x:c r="I34" s="3"/>
    </x:row>
    <x:row r="35" ht="34" customHeight="1">
      <x:c r="A35" s="3"/>
      <x:c r="B35" s="25" t="str">
        <x:f>IF(MONTH(B34)&lt;&gt;Milestones!$F$6,"",IFERROR(INDEX(Milestones!$B$11:$B$210,MATCH(B34*1000+1,Milestones!$I$11:$I$210,0))&amp;IF(INDEX(Milestones!$F$11:$F$210,MATCH(B34*1000+1,Milestones!$I$11:$I$210,0))="Complete"," [Complete]",""),""))</x:f>
      </x:c>
      <x:c r="C35" s="25" t="str">
        <x:f>IF(MONTH(C34)&lt;&gt;Milestones!$F$6,"",IFERROR(INDEX(Milestones!$B$11:$B$210,MATCH(C34*1000+1,Milestones!$I$11:$I$210,0))&amp;IF(INDEX(Milestones!$F$11:$F$210,MATCH(C34*1000+1,Milestones!$I$11:$I$210,0))="Complete"," [Complete]",""),""))</x:f>
      </x:c>
      <x:c r="D35" s="25" t="str">
        <x:f>IF(MONTH(D34)&lt;&gt;Milestones!$F$6,"",IFERROR(INDEX(Milestones!$B$11:$B$210,MATCH(D34*1000+1,Milestones!$I$11:$I$210,0))&amp;IF(INDEX(Milestones!$F$11:$F$210,MATCH(D34*1000+1,Milestones!$I$11:$I$210,0))="Complete"," [Complete]",""),""))</x:f>
      </x:c>
      <x:c r="E35" s="25" t="str">
        <x:f>IF(MONTH(E34)&lt;&gt;Milestones!$F$6,"",IFERROR(INDEX(Milestones!$B$11:$B$210,MATCH(E34*1000+1,Milestones!$I$11:$I$210,0))&amp;IF(INDEX(Milestones!$F$11:$F$210,MATCH(E34*1000+1,Milestones!$I$11:$I$210,0))="Complete"," [Complete]",""),""))</x:f>
      </x:c>
      <x:c r="F35" s="25" t="str">
        <x:f>IF(MONTH(F34)&lt;&gt;Milestones!$F$6,"",IFERROR(INDEX(Milestones!$B$11:$B$210,MATCH(F34*1000+1,Milestones!$I$11:$I$210,0))&amp;IF(INDEX(Milestones!$F$11:$F$210,MATCH(F34*1000+1,Milestones!$I$11:$I$210,0))="Complete"," [Complete]",""),""))</x:f>
      </x:c>
      <x:c r="G35" s="30" t="str">
        <x:f>IF(MONTH(G34)&lt;&gt;Milestones!$F$6,"",IFERROR(INDEX(Milestones!$B$11:$B$210,MATCH(G34*1000+1,Milestones!$I$11:$I$210,0))&amp;IF(INDEX(Milestones!$F$11:$F$210,MATCH(G34*1000+1,Milestones!$I$11:$I$210,0))="Complete"," [Complete]",""),""))</x:f>
      </x:c>
      <x:c r="H35" s="30" t="str">
        <x:f>IF(MONTH(H34)&lt;&gt;Milestones!$F$6,"",IFERROR(INDEX(Milestones!$B$11:$B$210,MATCH(H34*1000+1,Milestones!$I$11:$I$210,0))&amp;IF(INDEX(Milestones!$F$11:$F$210,MATCH(H34*1000+1,Milestones!$I$11:$I$210,0))="Complete"," [Complete]",""),""))</x:f>
      </x:c>
      <x:c r="I35" s="3"/>
    </x:row>
    <x:row r="36" ht="34" customHeight="1">
      <x:c r="A36" s="3"/>
      <x:c r="B36" s="25" t="str">
        <x:f>IF(MONTH(B34)&lt;&gt;Milestones!$F$6,"",IFERROR(INDEX(Milestones!$B$11:$B$210,MATCH(B34*1000+2,Milestones!$I$11:$I$210,0))&amp;IF(INDEX(Milestones!$F$11:$F$210,MATCH(B34*1000+2,Milestones!$I$11:$I$210,0))="Complete"," [Complete]",""),""))</x:f>
      </x:c>
      <x:c r="C36" s="25" t="str">
        <x:f>IF(MONTH(C34)&lt;&gt;Milestones!$F$6,"",IFERROR(INDEX(Milestones!$B$11:$B$210,MATCH(C34*1000+2,Milestones!$I$11:$I$210,0))&amp;IF(INDEX(Milestones!$F$11:$F$210,MATCH(C34*1000+2,Milestones!$I$11:$I$210,0))="Complete"," [Complete]",""),""))</x:f>
      </x:c>
      <x:c r="D36" s="25" t="str">
        <x:f>IF(MONTH(D34)&lt;&gt;Milestones!$F$6,"",IFERROR(INDEX(Milestones!$B$11:$B$210,MATCH(D34*1000+2,Milestones!$I$11:$I$210,0))&amp;IF(INDEX(Milestones!$F$11:$F$210,MATCH(D34*1000+2,Milestones!$I$11:$I$210,0))="Complete"," [Complete]",""),""))</x:f>
      </x:c>
      <x:c r="E36" s="25" t="str">
        <x:f>IF(MONTH(E34)&lt;&gt;Milestones!$F$6,"",IFERROR(INDEX(Milestones!$B$11:$B$210,MATCH(E34*1000+2,Milestones!$I$11:$I$210,0))&amp;IF(INDEX(Milestones!$F$11:$F$210,MATCH(E34*1000+2,Milestones!$I$11:$I$210,0))="Complete"," [Complete]",""),""))</x:f>
      </x:c>
      <x:c r="F36" s="25" t="str">
        <x:f>IF(MONTH(F34)&lt;&gt;Milestones!$F$6,"",IFERROR(INDEX(Milestones!$B$11:$B$210,MATCH(F34*1000+2,Milestones!$I$11:$I$210,0))&amp;IF(INDEX(Milestones!$F$11:$F$210,MATCH(F34*1000+2,Milestones!$I$11:$I$210,0))="Complete"," [Complete]",""),""))</x:f>
      </x:c>
      <x:c r="G36" s="30" t="str">
        <x:f>IF(MONTH(G34)&lt;&gt;Milestones!$F$6,"",IFERROR(INDEX(Milestones!$B$11:$B$210,MATCH(G34*1000+2,Milestones!$I$11:$I$210,0))&amp;IF(INDEX(Milestones!$F$11:$F$210,MATCH(G34*1000+2,Milestones!$I$11:$I$210,0))="Complete"," [Complete]",""),""))</x:f>
      </x:c>
      <x:c r="H36" s="30" t="str">
        <x:f>IF(MONTH(H34)&lt;&gt;Milestones!$F$6,"",IFERROR(INDEX(Milestones!$B$11:$B$210,MATCH(H34*1000+2,Milestones!$I$11:$I$210,0))&amp;IF(INDEX(Milestones!$F$11:$F$210,MATCH(H34*1000+2,Milestones!$I$11:$I$210,0))="Complete"," [Complete]",""),""))</x:f>
      </x:c>
      <x:c r="I36" s="3"/>
    </x:row>
    <x:row r="37" ht="34" customHeight="1">
      <x:c r="A37" s="3"/>
      <x:c r="B37" s="25" t="str">
        <x:f>IF(MONTH(B34)&lt;&gt;Milestones!$F$6,"",IFERROR(INDEX(Milestones!$B$11:$B$210,MATCH(B34*1000+3,Milestones!$I$11:$I$210,0))&amp;IF(INDEX(Milestones!$F$11:$F$210,MATCH(B34*1000+3,Milestones!$I$11:$I$210,0))="Complete"," [Complete]",""),""))</x:f>
      </x:c>
      <x:c r="C37" s="25" t="str">
        <x:f>IF(MONTH(C34)&lt;&gt;Milestones!$F$6,"",IFERROR(INDEX(Milestones!$B$11:$B$210,MATCH(C34*1000+3,Milestones!$I$11:$I$210,0))&amp;IF(INDEX(Milestones!$F$11:$F$210,MATCH(C34*1000+3,Milestones!$I$11:$I$210,0))="Complete"," [Complete]",""),""))</x:f>
      </x:c>
      <x:c r="D37" s="25" t="str">
        <x:f>IF(MONTH(D34)&lt;&gt;Milestones!$F$6,"",IFERROR(INDEX(Milestones!$B$11:$B$210,MATCH(D34*1000+3,Milestones!$I$11:$I$210,0))&amp;IF(INDEX(Milestones!$F$11:$F$210,MATCH(D34*1000+3,Milestones!$I$11:$I$210,0))="Complete"," [Complete]",""),""))</x:f>
      </x:c>
      <x:c r="E37" s="25" t="str">
        <x:f>IF(MONTH(E34)&lt;&gt;Milestones!$F$6,"",IFERROR(INDEX(Milestones!$B$11:$B$210,MATCH(E34*1000+3,Milestones!$I$11:$I$210,0))&amp;IF(INDEX(Milestones!$F$11:$F$210,MATCH(E34*1000+3,Milestones!$I$11:$I$210,0))="Complete"," [Complete]",""),""))</x:f>
      </x:c>
      <x:c r="F37" s="25" t="str">
        <x:f>IF(MONTH(F34)&lt;&gt;Milestones!$F$6,"",IFERROR(INDEX(Milestones!$B$11:$B$210,MATCH(F34*1000+3,Milestones!$I$11:$I$210,0))&amp;IF(INDEX(Milestones!$F$11:$F$210,MATCH(F34*1000+3,Milestones!$I$11:$I$210,0))="Complete"," [Complete]",""),""))</x:f>
      </x:c>
      <x:c r="G37" s="30" t="str">
        <x:f>IF(MONTH(G34)&lt;&gt;Milestones!$F$6,"",IFERROR(INDEX(Milestones!$B$11:$B$210,MATCH(G34*1000+3,Milestones!$I$11:$I$210,0))&amp;IF(INDEX(Milestones!$F$11:$F$210,MATCH(G34*1000+3,Milestones!$I$11:$I$210,0))="Complete"," [Complete]",""),""))</x:f>
      </x:c>
      <x:c r="H37" s="30" t="str">
        <x:f>IF(MONTH(H34)&lt;&gt;Milestones!$F$6,"",IFERROR(INDEX(Milestones!$B$11:$B$210,MATCH(H34*1000+3,Milestones!$I$11:$I$210,0))&amp;IF(INDEX(Milestones!$F$11:$F$210,MATCH(H34*1000+3,Milestones!$I$11:$I$210,0))="Complete"," [Complete]",""),""))</x:f>
      </x:c>
      <x:c r="I37" s="3"/>
    </x:row>
    <x:row r="38" ht="23" customHeight="1">
      <x:c r="A38" s="3"/>
      <x:c r="B38" s="26" t="str">
        <x:f>IF(MONTH(B34)&lt;&gt;Milestones!$F$6,"",IF(COUNTIFS(Milestones!$C$11:$C$210,B34,Milestones!$B$11:$B$210,"&lt;&gt;",Milestones!$F$11:$F$210,"&lt;&gt;Cancelled")&gt;3,"+ "&amp;(COUNTIFS(Milestones!$C$11:$C$210,B34,Milestones!$B$11:$B$210,"&lt;&gt;",Milestones!$F$11:$F$210,"&lt;&gt;Cancelled")-3)&amp;" more in list",""))</x:f>
      </x:c>
      <x:c r="C38" s="26" t="str">
        <x:f>IF(MONTH(C34)&lt;&gt;Milestones!$F$6,"",IF(COUNTIFS(Milestones!$C$11:$C$210,C34,Milestones!$B$11:$B$210,"&lt;&gt;",Milestones!$F$11:$F$210,"&lt;&gt;Cancelled")&gt;3,"+ "&amp;(COUNTIFS(Milestones!$C$11:$C$210,C34,Milestones!$B$11:$B$210,"&lt;&gt;",Milestones!$F$11:$F$210,"&lt;&gt;Cancelled")-3)&amp;" more in list",""))</x:f>
      </x:c>
      <x:c r="D38" s="26" t="str">
        <x:f>IF(MONTH(D34)&lt;&gt;Milestones!$F$6,"",IF(COUNTIFS(Milestones!$C$11:$C$210,D34,Milestones!$B$11:$B$210,"&lt;&gt;",Milestones!$F$11:$F$210,"&lt;&gt;Cancelled")&gt;3,"+ "&amp;(COUNTIFS(Milestones!$C$11:$C$210,D34,Milestones!$B$11:$B$210,"&lt;&gt;",Milestones!$F$11:$F$210,"&lt;&gt;Cancelled")-3)&amp;" more in list",""))</x:f>
      </x:c>
      <x:c r="E38" s="26" t="str">
        <x:f>IF(MONTH(E34)&lt;&gt;Milestones!$F$6,"",IF(COUNTIFS(Milestones!$C$11:$C$210,E34,Milestones!$B$11:$B$210,"&lt;&gt;",Milestones!$F$11:$F$210,"&lt;&gt;Cancelled")&gt;3,"+ "&amp;(COUNTIFS(Milestones!$C$11:$C$210,E34,Milestones!$B$11:$B$210,"&lt;&gt;",Milestones!$F$11:$F$210,"&lt;&gt;Cancelled")-3)&amp;" more in list",""))</x:f>
      </x:c>
      <x:c r="F38" s="26" t="str">
        <x:f>IF(MONTH(F34)&lt;&gt;Milestones!$F$6,"",IF(COUNTIFS(Milestones!$C$11:$C$210,F34,Milestones!$B$11:$B$210,"&lt;&gt;",Milestones!$F$11:$F$210,"&lt;&gt;Cancelled")&gt;3,"+ "&amp;(COUNTIFS(Milestones!$C$11:$C$210,F34,Milestones!$B$11:$B$210,"&lt;&gt;",Milestones!$F$11:$F$210,"&lt;&gt;Cancelled")-3)&amp;" more in list",""))</x:f>
      </x:c>
      <x:c r="G38" s="31" t="str">
        <x:f>IF(MONTH(G34)&lt;&gt;Milestones!$F$6,"",IF(COUNTIFS(Milestones!$C$11:$C$210,G34,Milestones!$B$11:$B$210,"&lt;&gt;",Milestones!$F$11:$F$210,"&lt;&gt;Cancelled")&gt;3,"+ "&amp;(COUNTIFS(Milestones!$C$11:$C$210,G34,Milestones!$B$11:$B$210,"&lt;&gt;",Milestones!$F$11:$F$210,"&lt;&gt;Cancelled")-3)&amp;" more in list",""))</x:f>
      </x:c>
      <x:c r="H38" s="31" t="str">
        <x:f>IF(MONTH(H34)&lt;&gt;Milestones!$F$6,"",IF(COUNTIFS(Milestones!$C$11:$C$210,H34,Milestones!$B$11:$B$210,"&lt;&gt;",Milestones!$F$11:$F$210,"&lt;&gt;Cancelled")&gt;3,"+ "&amp;(COUNTIFS(Milestones!$C$11:$C$210,H34,Milestones!$B$11:$B$210,"&lt;&gt;",Milestones!$F$11:$F$210,"&lt;&gt;Cancelled")-3)&amp;" more in list",""))</x:f>
      </x:c>
      <x:c r="I38" s="3"/>
    </x:row>
    <x:row r="39" ht="23" customHeight="1">
      <x:c r="A39" s="3"/>
      <x:c r="B39" s="3"/>
      <x:c r="C39" s="3"/>
      <x:c r="D39" s="3"/>
      <x:c r="E39" s="3"/>
      <x:c r="F39" s="3"/>
      <x:c r="G39" s="3"/>
      <x:c r="H39" s="3"/>
      <x:c r="I39" s="3"/>
    </x:row>
    <x:row r="40" ht="23" customHeight="1">
      <x:c r="A40" s="3"/>
      <x:c r="B40" s="8" t="str">
        <x:v>Red text = overdue unfinished milestone. Highlighted date = today. Dates outside the selected month have no entries.</x:v>
      </x:c>
      <x:c r="C40" s="8"/>
      <x:c r="D40" s="8"/>
      <x:c r="E40" s="8"/>
      <x:c r="F40" s="8"/>
      <x:c r="G40" s="8"/>
      <x:c r="H40" s="8"/>
      <x:c r="I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  <x:c r="I41" s="3"/>
    </x:row>
    <x:row r="42" ht="23" customHeight="1">
      <x:c r="A42" s="3"/>
      <x:c r="B42" s="8" t="str">
        <x:v>stakeholdermap.com | Excel project calendars</x:v>
      </x:c>
      <x:c r="C42" s="8"/>
      <x:c r="D42" s="8"/>
      <x:c r="E42" s="8"/>
      <x:c r="F42" s="8"/>
      <x:c r="G42" s="8"/>
      <x:c r="H42" s="8"/>
      <x:c r="I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</x:row>
  </x:sheetData>
  <x:mergeCells>
    <x:mergeCell ref="B2:H2"/>
    <x:mergeCell ref="B3:H3"/>
    <x:mergeCell ref="B5:H5"/>
    <x:mergeCell ref="B6:H6"/>
    <x:mergeCell ref="B40:H40"/>
    <x:mergeCell ref="B42:H42"/>
  </x:mergeCells>
  <x:conditionalFormatting sqref="B10:B10">
    <x:cfRule type="expression" dxfId="4" priority="1">
      <x:formula>AND(B9&lt;Milestones!$F$5,B10&lt;&gt;"",ISERROR(SEARCH("[Complete]",B10)))</x:formula>
    </x:cfRule>
  </x:conditionalFormatting>
  <x:conditionalFormatting sqref="B11:B11">
    <x:cfRule type="expression" dxfId="5" priority="2">
      <x:formula>AND(B9&lt;Milestones!$F$5,B11&lt;&gt;"",ISERROR(SEARCH("[Complete]",B11)))</x:formula>
    </x:cfRule>
  </x:conditionalFormatting>
  <x:conditionalFormatting sqref="B12:B12">
    <x:cfRule type="expression" dxfId="6" priority="3">
      <x:formula>AND(B9&lt;Milestones!$F$5,B12&lt;&gt;"",ISERROR(SEARCH("[Complete]",B12)))</x:formula>
    </x:cfRule>
  </x:conditionalFormatting>
  <x:conditionalFormatting sqref="B9:B9">
    <x:cfRule type="expression" dxfId="7" priority="4">
      <x:formula>B9=Milestones!$F$5</x:formula>
    </x:cfRule>
  </x:conditionalFormatting>
  <x:conditionalFormatting sqref="C10:C10">
    <x:cfRule type="expression" dxfId="8" priority="5">
      <x:formula>AND(C9&lt;Milestones!$F$5,C10&lt;&gt;"",ISERROR(SEARCH("[Complete]",C10)))</x:formula>
    </x:cfRule>
  </x:conditionalFormatting>
  <x:conditionalFormatting sqref="C11:C11">
    <x:cfRule type="expression" dxfId="9" priority="6">
      <x:formula>AND(C9&lt;Milestones!$F$5,C11&lt;&gt;"",ISERROR(SEARCH("[Complete]",C11)))</x:formula>
    </x:cfRule>
  </x:conditionalFormatting>
  <x:conditionalFormatting sqref="C12:C12">
    <x:cfRule type="expression" dxfId="10" priority="7">
      <x:formula>AND(C9&lt;Milestones!$F$5,C12&lt;&gt;"",ISERROR(SEARCH("[Complete]",C12)))</x:formula>
    </x:cfRule>
  </x:conditionalFormatting>
  <x:conditionalFormatting sqref="C9:C9">
    <x:cfRule type="expression" dxfId="11" priority="8">
      <x:formula>C9=Milestones!$F$5</x:formula>
    </x:cfRule>
  </x:conditionalFormatting>
  <x:conditionalFormatting sqref="D10:D10">
    <x:cfRule type="expression" dxfId="12" priority="9">
      <x:formula>AND(D9&lt;Milestones!$F$5,D10&lt;&gt;"",ISERROR(SEARCH("[Complete]",D10)))</x:formula>
    </x:cfRule>
  </x:conditionalFormatting>
  <x:conditionalFormatting sqref="D11:D11">
    <x:cfRule type="expression" dxfId="13" priority="10">
      <x:formula>AND(D9&lt;Milestones!$F$5,D11&lt;&gt;"",ISERROR(SEARCH("[Complete]",D11)))</x:formula>
    </x:cfRule>
  </x:conditionalFormatting>
  <x:conditionalFormatting sqref="D12:D12">
    <x:cfRule type="expression" dxfId="14" priority="11">
      <x:formula>AND(D9&lt;Milestones!$F$5,D12&lt;&gt;"",ISERROR(SEARCH("[Complete]",D12)))</x:formula>
    </x:cfRule>
  </x:conditionalFormatting>
  <x:conditionalFormatting sqref="D9:D9">
    <x:cfRule type="expression" dxfId="15" priority="12">
      <x:formula>D9=Milestones!$F$5</x:formula>
    </x:cfRule>
  </x:conditionalFormatting>
  <x:conditionalFormatting sqref="E10:E10">
    <x:cfRule type="expression" dxfId="16" priority="13">
      <x:formula>AND(E9&lt;Milestones!$F$5,E10&lt;&gt;"",ISERROR(SEARCH("[Complete]",E10)))</x:formula>
    </x:cfRule>
  </x:conditionalFormatting>
  <x:conditionalFormatting sqref="E11:E11">
    <x:cfRule type="expression" dxfId="17" priority="14">
      <x:formula>AND(E9&lt;Milestones!$F$5,E11&lt;&gt;"",ISERROR(SEARCH("[Complete]",E11)))</x:formula>
    </x:cfRule>
  </x:conditionalFormatting>
  <x:conditionalFormatting sqref="E12:E12">
    <x:cfRule type="expression" dxfId="18" priority="15">
      <x:formula>AND(E9&lt;Milestones!$F$5,E12&lt;&gt;"",ISERROR(SEARCH("[Complete]",E12)))</x:formula>
    </x:cfRule>
  </x:conditionalFormatting>
  <x:conditionalFormatting sqref="E9:E9">
    <x:cfRule type="expression" dxfId="19" priority="16">
      <x:formula>E9=Milestones!$F$5</x:formula>
    </x:cfRule>
  </x:conditionalFormatting>
  <x:conditionalFormatting sqref="F10:F10">
    <x:cfRule type="expression" dxfId="20" priority="17">
      <x:formula>AND(F9&lt;Milestones!$F$5,F10&lt;&gt;"",ISERROR(SEARCH("[Complete]",F10)))</x:formula>
    </x:cfRule>
  </x:conditionalFormatting>
  <x:conditionalFormatting sqref="F11:F11">
    <x:cfRule type="expression" dxfId="21" priority="18">
      <x:formula>AND(F9&lt;Milestones!$F$5,F11&lt;&gt;"",ISERROR(SEARCH("[Complete]",F11)))</x:formula>
    </x:cfRule>
  </x:conditionalFormatting>
  <x:conditionalFormatting sqref="F12:F12">
    <x:cfRule type="expression" dxfId="22" priority="19">
      <x:formula>AND(F9&lt;Milestones!$F$5,F12&lt;&gt;"",ISERROR(SEARCH("[Complete]",F12)))</x:formula>
    </x:cfRule>
  </x:conditionalFormatting>
  <x:conditionalFormatting sqref="F9:F9">
    <x:cfRule type="expression" dxfId="23" priority="20">
      <x:formula>F9=Milestones!$F$5</x:formula>
    </x:cfRule>
  </x:conditionalFormatting>
  <x:conditionalFormatting sqref="G10:G10">
    <x:cfRule type="expression" dxfId="24" priority="21">
      <x:formula>AND(G9&lt;Milestones!$F$5,G10&lt;&gt;"",ISERROR(SEARCH("[Complete]",G10)))</x:formula>
    </x:cfRule>
  </x:conditionalFormatting>
  <x:conditionalFormatting sqref="G11:G11">
    <x:cfRule type="expression" dxfId="25" priority="22">
      <x:formula>AND(G9&lt;Milestones!$F$5,G11&lt;&gt;"",ISERROR(SEARCH("[Complete]",G11)))</x:formula>
    </x:cfRule>
  </x:conditionalFormatting>
  <x:conditionalFormatting sqref="G12:G12">
    <x:cfRule type="expression" dxfId="26" priority="23">
      <x:formula>AND(G9&lt;Milestones!$F$5,G12&lt;&gt;"",ISERROR(SEARCH("[Complete]",G12)))</x:formula>
    </x:cfRule>
  </x:conditionalFormatting>
  <x:conditionalFormatting sqref="G9:G9">
    <x:cfRule type="expression" dxfId="27" priority="24">
      <x:formula>G9=Milestones!$F$5</x:formula>
    </x:cfRule>
  </x:conditionalFormatting>
  <x:conditionalFormatting sqref="H10:H10">
    <x:cfRule type="expression" dxfId="28" priority="25">
      <x:formula>AND(H9&lt;Milestones!$F$5,H10&lt;&gt;"",ISERROR(SEARCH("[Complete]",H10)))</x:formula>
    </x:cfRule>
  </x:conditionalFormatting>
  <x:conditionalFormatting sqref="H11:H11">
    <x:cfRule type="expression" dxfId="29" priority="26">
      <x:formula>AND(H9&lt;Milestones!$F$5,H11&lt;&gt;"",ISERROR(SEARCH("[Complete]",H11)))</x:formula>
    </x:cfRule>
  </x:conditionalFormatting>
  <x:conditionalFormatting sqref="H12:H12">
    <x:cfRule type="expression" dxfId="30" priority="27">
      <x:formula>AND(H9&lt;Milestones!$F$5,H12&lt;&gt;"",ISERROR(SEARCH("[Complete]",H12)))</x:formula>
    </x:cfRule>
  </x:conditionalFormatting>
  <x:conditionalFormatting sqref="H9:H9">
    <x:cfRule type="expression" dxfId="31" priority="28">
      <x:formula>H9=Milestones!$F$5</x:formula>
    </x:cfRule>
  </x:conditionalFormatting>
  <x:conditionalFormatting sqref="B15:B15">
    <x:cfRule type="expression" dxfId="32" priority="29">
      <x:formula>AND(B14&lt;Milestones!$F$5,B15&lt;&gt;"",ISERROR(SEARCH("[Complete]",B15)))</x:formula>
    </x:cfRule>
  </x:conditionalFormatting>
  <x:conditionalFormatting sqref="B16:B16">
    <x:cfRule type="expression" dxfId="33" priority="30">
      <x:formula>AND(B14&lt;Milestones!$F$5,B16&lt;&gt;"",ISERROR(SEARCH("[Complete]",B16)))</x:formula>
    </x:cfRule>
  </x:conditionalFormatting>
  <x:conditionalFormatting sqref="B17:B17">
    <x:cfRule type="expression" dxfId="34" priority="31">
      <x:formula>AND(B14&lt;Milestones!$F$5,B17&lt;&gt;"",ISERROR(SEARCH("[Complete]",B17)))</x:formula>
    </x:cfRule>
  </x:conditionalFormatting>
  <x:conditionalFormatting sqref="B14:B14">
    <x:cfRule type="expression" dxfId="35" priority="32">
      <x:formula>B14=Milestones!$F$5</x:formula>
    </x:cfRule>
  </x:conditionalFormatting>
  <x:conditionalFormatting sqref="C15:C15">
    <x:cfRule type="expression" dxfId="36" priority="33">
      <x:formula>AND(C14&lt;Milestones!$F$5,C15&lt;&gt;"",ISERROR(SEARCH("[Complete]",C15)))</x:formula>
    </x:cfRule>
  </x:conditionalFormatting>
  <x:conditionalFormatting sqref="C16:C16">
    <x:cfRule type="expression" dxfId="37" priority="34">
      <x:formula>AND(C14&lt;Milestones!$F$5,C16&lt;&gt;"",ISERROR(SEARCH("[Complete]",C16)))</x:formula>
    </x:cfRule>
  </x:conditionalFormatting>
  <x:conditionalFormatting sqref="C17:C17">
    <x:cfRule type="expression" dxfId="38" priority="35">
      <x:formula>AND(C14&lt;Milestones!$F$5,C17&lt;&gt;"",ISERROR(SEARCH("[Complete]",C17)))</x:formula>
    </x:cfRule>
  </x:conditionalFormatting>
  <x:conditionalFormatting sqref="C14:C14">
    <x:cfRule type="expression" dxfId="39" priority="36">
      <x:formula>C14=Milestones!$F$5</x:formula>
    </x:cfRule>
  </x:conditionalFormatting>
  <x:conditionalFormatting sqref="D15:D15">
    <x:cfRule type="expression" dxfId="40" priority="37">
      <x:formula>AND(D14&lt;Milestones!$F$5,D15&lt;&gt;"",ISERROR(SEARCH("[Complete]",D15)))</x:formula>
    </x:cfRule>
  </x:conditionalFormatting>
  <x:conditionalFormatting sqref="D16:D16">
    <x:cfRule type="expression" dxfId="41" priority="38">
      <x:formula>AND(D14&lt;Milestones!$F$5,D16&lt;&gt;"",ISERROR(SEARCH("[Complete]",D16)))</x:formula>
    </x:cfRule>
  </x:conditionalFormatting>
  <x:conditionalFormatting sqref="D17:D17">
    <x:cfRule type="expression" dxfId="42" priority="39">
      <x:formula>AND(D14&lt;Milestones!$F$5,D17&lt;&gt;"",ISERROR(SEARCH("[Complete]",D17)))</x:formula>
    </x:cfRule>
  </x:conditionalFormatting>
  <x:conditionalFormatting sqref="D14:D14">
    <x:cfRule type="expression" dxfId="43" priority="40">
      <x:formula>D14=Milestones!$F$5</x:formula>
    </x:cfRule>
  </x:conditionalFormatting>
  <x:conditionalFormatting sqref="E15:E15">
    <x:cfRule type="expression" dxfId="44" priority="41">
      <x:formula>AND(E14&lt;Milestones!$F$5,E15&lt;&gt;"",ISERROR(SEARCH("[Complete]",E15)))</x:formula>
    </x:cfRule>
  </x:conditionalFormatting>
  <x:conditionalFormatting sqref="E16:E16">
    <x:cfRule type="expression" dxfId="45" priority="42">
      <x:formula>AND(E14&lt;Milestones!$F$5,E16&lt;&gt;"",ISERROR(SEARCH("[Complete]",E16)))</x:formula>
    </x:cfRule>
  </x:conditionalFormatting>
  <x:conditionalFormatting sqref="E17:E17">
    <x:cfRule type="expression" dxfId="46" priority="43">
      <x:formula>AND(E14&lt;Milestones!$F$5,E17&lt;&gt;"",ISERROR(SEARCH("[Complete]",E17)))</x:formula>
    </x:cfRule>
  </x:conditionalFormatting>
  <x:conditionalFormatting sqref="E14:E14">
    <x:cfRule type="expression" dxfId="47" priority="44">
      <x:formula>E14=Milestones!$F$5</x:formula>
    </x:cfRule>
  </x:conditionalFormatting>
  <x:conditionalFormatting sqref="F15:F15">
    <x:cfRule type="expression" dxfId="48" priority="45">
      <x:formula>AND(F14&lt;Milestones!$F$5,F15&lt;&gt;"",ISERROR(SEARCH("[Complete]",F15)))</x:formula>
    </x:cfRule>
  </x:conditionalFormatting>
  <x:conditionalFormatting sqref="F16:F16">
    <x:cfRule type="expression" dxfId="49" priority="46">
      <x:formula>AND(F14&lt;Milestones!$F$5,F16&lt;&gt;"",ISERROR(SEARCH("[Complete]",F16)))</x:formula>
    </x:cfRule>
  </x:conditionalFormatting>
  <x:conditionalFormatting sqref="F17:F17">
    <x:cfRule type="expression" dxfId="50" priority="47">
      <x:formula>AND(F14&lt;Milestones!$F$5,F17&lt;&gt;"",ISERROR(SEARCH("[Complete]",F17)))</x:formula>
    </x:cfRule>
  </x:conditionalFormatting>
  <x:conditionalFormatting sqref="F14:F14">
    <x:cfRule type="expression" dxfId="51" priority="48">
      <x:formula>F14=Milestones!$F$5</x:formula>
    </x:cfRule>
  </x:conditionalFormatting>
  <x:conditionalFormatting sqref="G15:G15">
    <x:cfRule type="expression" dxfId="52" priority="49">
      <x:formula>AND(G14&lt;Milestones!$F$5,G15&lt;&gt;"",ISERROR(SEARCH("[Complete]",G15)))</x:formula>
    </x:cfRule>
  </x:conditionalFormatting>
  <x:conditionalFormatting sqref="G16:G16">
    <x:cfRule type="expression" dxfId="53" priority="50">
      <x:formula>AND(G14&lt;Milestones!$F$5,G16&lt;&gt;"",ISERROR(SEARCH("[Complete]",G16)))</x:formula>
    </x:cfRule>
  </x:conditionalFormatting>
  <x:conditionalFormatting sqref="G17:G17">
    <x:cfRule type="expression" dxfId="54" priority="51">
      <x:formula>AND(G14&lt;Milestones!$F$5,G17&lt;&gt;"",ISERROR(SEARCH("[Complete]",G17)))</x:formula>
    </x:cfRule>
  </x:conditionalFormatting>
  <x:conditionalFormatting sqref="G14:G14">
    <x:cfRule type="expression" dxfId="55" priority="52">
      <x:formula>G14=Milestones!$F$5</x:formula>
    </x:cfRule>
  </x:conditionalFormatting>
  <x:conditionalFormatting sqref="H15:H15">
    <x:cfRule type="expression" dxfId="56" priority="53">
      <x:formula>AND(H14&lt;Milestones!$F$5,H15&lt;&gt;"",ISERROR(SEARCH("[Complete]",H15)))</x:formula>
    </x:cfRule>
  </x:conditionalFormatting>
  <x:conditionalFormatting sqref="H16:H16">
    <x:cfRule type="expression" dxfId="57" priority="54">
      <x:formula>AND(H14&lt;Milestones!$F$5,H16&lt;&gt;"",ISERROR(SEARCH("[Complete]",H16)))</x:formula>
    </x:cfRule>
  </x:conditionalFormatting>
  <x:conditionalFormatting sqref="H17:H17">
    <x:cfRule type="expression" dxfId="58" priority="55">
      <x:formula>AND(H14&lt;Milestones!$F$5,H17&lt;&gt;"",ISERROR(SEARCH("[Complete]",H17)))</x:formula>
    </x:cfRule>
  </x:conditionalFormatting>
  <x:conditionalFormatting sqref="H14:H14">
    <x:cfRule type="expression" dxfId="59" priority="56">
      <x:formula>H14=Milestones!$F$5</x:formula>
    </x:cfRule>
  </x:conditionalFormatting>
  <x:conditionalFormatting sqref="B20:B20">
    <x:cfRule type="expression" dxfId="60" priority="57">
      <x:formula>AND(B19&lt;Milestones!$F$5,B20&lt;&gt;"",ISERROR(SEARCH("[Complete]",B20)))</x:formula>
    </x:cfRule>
  </x:conditionalFormatting>
  <x:conditionalFormatting sqref="B21:B21">
    <x:cfRule type="expression" dxfId="61" priority="58">
      <x:formula>AND(B19&lt;Milestones!$F$5,B21&lt;&gt;"",ISERROR(SEARCH("[Complete]",B21)))</x:formula>
    </x:cfRule>
  </x:conditionalFormatting>
  <x:conditionalFormatting sqref="B22:B22">
    <x:cfRule type="expression" dxfId="62" priority="59">
      <x:formula>AND(B19&lt;Milestones!$F$5,B22&lt;&gt;"",ISERROR(SEARCH("[Complete]",B22)))</x:formula>
    </x:cfRule>
  </x:conditionalFormatting>
  <x:conditionalFormatting sqref="B19:B19">
    <x:cfRule type="expression" dxfId="63" priority="60">
      <x:formula>B19=Milestones!$F$5</x:formula>
    </x:cfRule>
  </x:conditionalFormatting>
  <x:conditionalFormatting sqref="C20:C20">
    <x:cfRule type="expression" dxfId="64" priority="61">
      <x:formula>AND(C19&lt;Milestones!$F$5,C20&lt;&gt;"",ISERROR(SEARCH("[Complete]",C20)))</x:formula>
    </x:cfRule>
  </x:conditionalFormatting>
  <x:conditionalFormatting sqref="C21:C21">
    <x:cfRule type="expression" dxfId="65" priority="62">
      <x:formula>AND(C19&lt;Milestones!$F$5,C21&lt;&gt;"",ISERROR(SEARCH("[Complete]",C21)))</x:formula>
    </x:cfRule>
  </x:conditionalFormatting>
  <x:conditionalFormatting sqref="C22:C22">
    <x:cfRule type="expression" dxfId="66" priority="63">
      <x:formula>AND(C19&lt;Milestones!$F$5,C22&lt;&gt;"",ISERROR(SEARCH("[Complete]",C22)))</x:formula>
    </x:cfRule>
  </x:conditionalFormatting>
  <x:conditionalFormatting sqref="C19:C19">
    <x:cfRule type="expression" dxfId="67" priority="64">
      <x:formula>C19=Milestones!$F$5</x:formula>
    </x:cfRule>
  </x:conditionalFormatting>
  <x:conditionalFormatting sqref="D20:D20">
    <x:cfRule type="expression" dxfId="68" priority="65">
      <x:formula>AND(D19&lt;Milestones!$F$5,D20&lt;&gt;"",ISERROR(SEARCH("[Complete]",D20)))</x:formula>
    </x:cfRule>
  </x:conditionalFormatting>
  <x:conditionalFormatting sqref="D21:D21">
    <x:cfRule type="expression" dxfId="69" priority="66">
      <x:formula>AND(D19&lt;Milestones!$F$5,D21&lt;&gt;"",ISERROR(SEARCH("[Complete]",D21)))</x:formula>
    </x:cfRule>
  </x:conditionalFormatting>
  <x:conditionalFormatting sqref="D22:D22">
    <x:cfRule type="expression" dxfId="70" priority="67">
      <x:formula>AND(D19&lt;Milestones!$F$5,D22&lt;&gt;"",ISERROR(SEARCH("[Complete]",D22)))</x:formula>
    </x:cfRule>
  </x:conditionalFormatting>
  <x:conditionalFormatting sqref="D19:D19">
    <x:cfRule type="expression" dxfId="71" priority="68">
      <x:formula>D19=Milestones!$F$5</x:formula>
    </x:cfRule>
  </x:conditionalFormatting>
  <x:conditionalFormatting sqref="E20:E20">
    <x:cfRule type="expression" dxfId="72" priority="69">
      <x:formula>AND(E19&lt;Milestones!$F$5,E20&lt;&gt;"",ISERROR(SEARCH("[Complete]",E20)))</x:formula>
    </x:cfRule>
  </x:conditionalFormatting>
  <x:conditionalFormatting sqref="E21:E21">
    <x:cfRule type="expression" dxfId="73" priority="70">
      <x:formula>AND(E19&lt;Milestones!$F$5,E21&lt;&gt;"",ISERROR(SEARCH("[Complete]",E21)))</x:formula>
    </x:cfRule>
  </x:conditionalFormatting>
  <x:conditionalFormatting sqref="E22:E22">
    <x:cfRule type="expression" dxfId="74" priority="71">
      <x:formula>AND(E19&lt;Milestones!$F$5,E22&lt;&gt;"",ISERROR(SEARCH("[Complete]",E22)))</x:formula>
    </x:cfRule>
  </x:conditionalFormatting>
  <x:conditionalFormatting sqref="E19:E19">
    <x:cfRule type="expression" dxfId="75" priority="72">
      <x:formula>E19=Milestones!$F$5</x:formula>
    </x:cfRule>
  </x:conditionalFormatting>
  <x:conditionalFormatting sqref="F20:F20">
    <x:cfRule type="expression" dxfId="76" priority="73">
      <x:formula>AND(F19&lt;Milestones!$F$5,F20&lt;&gt;"",ISERROR(SEARCH("[Complete]",F20)))</x:formula>
    </x:cfRule>
  </x:conditionalFormatting>
  <x:conditionalFormatting sqref="F21:F21">
    <x:cfRule type="expression" dxfId="77" priority="74">
      <x:formula>AND(F19&lt;Milestones!$F$5,F21&lt;&gt;"",ISERROR(SEARCH("[Complete]",F21)))</x:formula>
    </x:cfRule>
  </x:conditionalFormatting>
  <x:conditionalFormatting sqref="F22:F22">
    <x:cfRule type="expression" dxfId="78" priority="75">
      <x:formula>AND(F19&lt;Milestones!$F$5,F22&lt;&gt;"",ISERROR(SEARCH("[Complete]",F22)))</x:formula>
    </x:cfRule>
  </x:conditionalFormatting>
  <x:conditionalFormatting sqref="F19:F19">
    <x:cfRule type="expression" dxfId="79" priority="76">
      <x:formula>F19=Milestones!$F$5</x:formula>
    </x:cfRule>
  </x:conditionalFormatting>
  <x:conditionalFormatting sqref="G20:G20">
    <x:cfRule type="expression" dxfId="80" priority="77">
      <x:formula>AND(G19&lt;Milestones!$F$5,G20&lt;&gt;"",ISERROR(SEARCH("[Complete]",G20)))</x:formula>
    </x:cfRule>
  </x:conditionalFormatting>
  <x:conditionalFormatting sqref="G21:G21">
    <x:cfRule type="expression" dxfId="81" priority="78">
      <x:formula>AND(G19&lt;Milestones!$F$5,G21&lt;&gt;"",ISERROR(SEARCH("[Complete]",G21)))</x:formula>
    </x:cfRule>
  </x:conditionalFormatting>
  <x:conditionalFormatting sqref="G22:G22">
    <x:cfRule type="expression" dxfId="82" priority="79">
      <x:formula>AND(G19&lt;Milestones!$F$5,G22&lt;&gt;"",ISERROR(SEARCH("[Complete]",G22)))</x:formula>
    </x:cfRule>
  </x:conditionalFormatting>
  <x:conditionalFormatting sqref="G19:G19">
    <x:cfRule type="expression" dxfId="83" priority="80">
      <x:formula>G19=Milestones!$F$5</x:formula>
    </x:cfRule>
  </x:conditionalFormatting>
  <x:conditionalFormatting sqref="H20:H20">
    <x:cfRule type="expression" dxfId="84" priority="81">
      <x:formula>AND(H19&lt;Milestones!$F$5,H20&lt;&gt;"",ISERROR(SEARCH("[Complete]",H20)))</x:formula>
    </x:cfRule>
  </x:conditionalFormatting>
  <x:conditionalFormatting sqref="H21:H21">
    <x:cfRule type="expression" dxfId="85" priority="82">
      <x:formula>AND(H19&lt;Milestones!$F$5,H21&lt;&gt;"",ISERROR(SEARCH("[Complete]",H21)))</x:formula>
    </x:cfRule>
  </x:conditionalFormatting>
  <x:conditionalFormatting sqref="H22:H22">
    <x:cfRule type="expression" dxfId="86" priority="83">
      <x:formula>AND(H19&lt;Milestones!$F$5,H22&lt;&gt;"",ISERROR(SEARCH("[Complete]",H22)))</x:formula>
    </x:cfRule>
  </x:conditionalFormatting>
  <x:conditionalFormatting sqref="H19:H19">
    <x:cfRule type="expression" dxfId="87" priority="84">
      <x:formula>H19=Milestones!$F$5</x:formula>
    </x:cfRule>
  </x:conditionalFormatting>
  <x:conditionalFormatting sqref="B25:B25">
    <x:cfRule type="expression" dxfId="88" priority="85">
      <x:formula>AND(B24&lt;Milestones!$F$5,B25&lt;&gt;"",ISERROR(SEARCH("[Complete]",B25)))</x:formula>
    </x:cfRule>
  </x:conditionalFormatting>
  <x:conditionalFormatting sqref="B26:B26">
    <x:cfRule type="expression" dxfId="89" priority="86">
      <x:formula>AND(B24&lt;Milestones!$F$5,B26&lt;&gt;"",ISERROR(SEARCH("[Complete]",B26)))</x:formula>
    </x:cfRule>
  </x:conditionalFormatting>
  <x:conditionalFormatting sqref="B27:B27">
    <x:cfRule type="expression" dxfId="90" priority="87">
      <x:formula>AND(B24&lt;Milestones!$F$5,B27&lt;&gt;"",ISERROR(SEARCH("[Complete]",B27)))</x:formula>
    </x:cfRule>
  </x:conditionalFormatting>
  <x:conditionalFormatting sqref="B24:B24">
    <x:cfRule type="expression" dxfId="91" priority="88">
      <x:formula>B24=Milestones!$F$5</x:formula>
    </x:cfRule>
  </x:conditionalFormatting>
  <x:conditionalFormatting sqref="C25:C25">
    <x:cfRule type="expression" dxfId="92" priority="89">
      <x:formula>AND(C24&lt;Milestones!$F$5,C25&lt;&gt;"",ISERROR(SEARCH("[Complete]",C25)))</x:formula>
    </x:cfRule>
  </x:conditionalFormatting>
  <x:conditionalFormatting sqref="C26:C26">
    <x:cfRule type="expression" dxfId="93" priority="90">
      <x:formula>AND(C24&lt;Milestones!$F$5,C26&lt;&gt;"",ISERROR(SEARCH("[Complete]",C26)))</x:formula>
    </x:cfRule>
  </x:conditionalFormatting>
  <x:conditionalFormatting sqref="C27:C27">
    <x:cfRule type="expression" dxfId="94" priority="91">
      <x:formula>AND(C24&lt;Milestones!$F$5,C27&lt;&gt;"",ISERROR(SEARCH("[Complete]",C27)))</x:formula>
    </x:cfRule>
  </x:conditionalFormatting>
  <x:conditionalFormatting sqref="C24:C24">
    <x:cfRule type="expression" dxfId="95" priority="92">
      <x:formula>C24=Milestones!$F$5</x:formula>
    </x:cfRule>
  </x:conditionalFormatting>
  <x:conditionalFormatting sqref="D25:D25">
    <x:cfRule type="expression" dxfId="96" priority="93">
      <x:formula>AND(D24&lt;Milestones!$F$5,D25&lt;&gt;"",ISERROR(SEARCH("[Complete]",D25)))</x:formula>
    </x:cfRule>
  </x:conditionalFormatting>
  <x:conditionalFormatting sqref="D26:D26">
    <x:cfRule type="expression" dxfId="97" priority="94">
      <x:formula>AND(D24&lt;Milestones!$F$5,D26&lt;&gt;"",ISERROR(SEARCH("[Complete]",D26)))</x:formula>
    </x:cfRule>
  </x:conditionalFormatting>
  <x:conditionalFormatting sqref="D27:D27">
    <x:cfRule type="expression" dxfId="98" priority="95">
      <x:formula>AND(D24&lt;Milestones!$F$5,D27&lt;&gt;"",ISERROR(SEARCH("[Complete]",D27)))</x:formula>
    </x:cfRule>
  </x:conditionalFormatting>
  <x:conditionalFormatting sqref="D24:D24">
    <x:cfRule type="expression" dxfId="99" priority="96">
      <x:formula>D24=Milestones!$F$5</x:formula>
    </x:cfRule>
  </x:conditionalFormatting>
  <x:conditionalFormatting sqref="E25:E25">
    <x:cfRule type="expression" dxfId="100" priority="97">
      <x:formula>AND(E24&lt;Milestones!$F$5,E25&lt;&gt;"",ISERROR(SEARCH("[Complete]",E25)))</x:formula>
    </x:cfRule>
  </x:conditionalFormatting>
  <x:conditionalFormatting sqref="E26:E26">
    <x:cfRule type="expression" dxfId="101" priority="98">
      <x:formula>AND(E24&lt;Milestones!$F$5,E26&lt;&gt;"",ISERROR(SEARCH("[Complete]",E26)))</x:formula>
    </x:cfRule>
  </x:conditionalFormatting>
  <x:conditionalFormatting sqref="E27:E27">
    <x:cfRule type="expression" dxfId="102" priority="99">
      <x:formula>AND(E24&lt;Milestones!$F$5,E27&lt;&gt;"",ISERROR(SEARCH("[Complete]",E27)))</x:formula>
    </x:cfRule>
  </x:conditionalFormatting>
  <x:conditionalFormatting sqref="E24:E24">
    <x:cfRule type="expression" dxfId="103" priority="100">
      <x:formula>E24=Milestones!$F$5</x:formula>
    </x:cfRule>
  </x:conditionalFormatting>
  <x:conditionalFormatting sqref="F25:F25">
    <x:cfRule type="expression" dxfId="104" priority="101">
      <x:formula>AND(F24&lt;Milestones!$F$5,F25&lt;&gt;"",ISERROR(SEARCH("[Complete]",F25)))</x:formula>
    </x:cfRule>
  </x:conditionalFormatting>
  <x:conditionalFormatting sqref="F26:F26">
    <x:cfRule type="expression" dxfId="105" priority="102">
      <x:formula>AND(F24&lt;Milestones!$F$5,F26&lt;&gt;"",ISERROR(SEARCH("[Complete]",F26)))</x:formula>
    </x:cfRule>
  </x:conditionalFormatting>
  <x:conditionalFormatting sqref="F27:F27">
    <x:cfRule type="expression" dxfId="106" priority="103">
      <x:formula>AND(F24&lt;Milestones!$F$5,F27&lt;&gt;"",ISERROR(SEARCH("[Complete]",F27)))</x:formula>
    </x:cfRule>
  </x:conditionalFormatting>
  <x:conditionalFormatting sqref="F24:F24">
    <x:cfRule type="expression" dxfId="107" priority="104">
      <x:formula>F24=Milestones!$F$5</x:formula>
    </x:cfRule>
  </x:conditionalFormatting>
  <x:conditionalFormatting sqref="G25:G25">
    <x:cfRule type="expression" dxfId="108" priority="105">
      <x:formula>AND(G24&lt;Milestones!$F$5,G25&lt;&gt;"",ISERROR(SEARCH("[Complete]",G25)))</x:formula>
    </x:cfRule>
  </x:conditionalFormatting>
  <x:conditionalFormatting sqref="G26:G26">
    <x:cfRule type="expression" dxfId="109" priority="106">
      <x:formula>AND(G24&lt;Milestones!$F$5,G26&lt;&gt;"",ISERROR(SEARCH("[Complete]",G26)))</x:formula>
    </x:cfRule>
  </x:conditionalFormatting>
  <x:conditionalFormatting sqref="G27:G27">
    <x:cfRule type="expression" dxfId="110" priority="107">
      <x:formula>AND(G24&lt;Milestones!$F$5,G27&lt;&gt;"",ISERROR(SEARCH("[Complete]",G27)))</x:formula>
    </x:cfRule>
  </x:conditionalFormatting>
  <x:conditionalFormatting sqref="G24:G24">
    <x:cfRule type="expression" dxfId="111" priority="108">
      <x:formula>G24=Milestones!$F$5</x:formula>
    </x:cfRule>
  </x:conditionalFormatting>
  <x:conditionalFormatting sqref="H25:H25">
    <x:cfRule type="expression" dxfId="112" priority="109">
      <x:formula>AND(H24&lt;Milestones!$F$5,H25&lt;&gt;"",ISERROR(SEARCH("[Complete]",H25)))</x:formula>
    </x:cfRule>
  </x:conditionalFormatting>
  <x:conditionalFormatting sqref="H26:H26">
    <x:cfRule type="expression" dxfId="113" priority="110">
      <x:formula>AND(H24&lt;Milestones!$F$5,H26&lt;&gt;"",ISERROR(SEARCH("[Complete]",H26)))</x:formula>
    </x:cfRule>
  </x:conditionalFormatting>
  <x:conditionalFormatting sqref="H27:H27">
    <x:cfRule type="expression" dxfId="114" priority="111">
      <x:formula>AND(H24&lt;Milestones!$F$5,H27&lt;&gt;"",ISERROR(SEARCH("[Complete]",H27)))</x:formula>
    </x:cfRule>
  </x:conditionalFormatting>
  <x:conditionalFormatting sqref="H24:H24">
    <x:cfRule type="expression" dxfId="115" priority="112">
      <x:formula>H24=Milestones!$F$5</x:formula>
    </x:cfRule>
  </x:conditionalFormatting>
  <x:conditionalFormatting sqref="B30:B30">
    <x:cfRule type="expression" dxfId="116" priority="113">
      <x:formula>AND(B29&lt;Milestones!$F$5,B30&lt;&gt;"",ISERROR(SEARCH("[Complete]",B30)))</x:formula>
    </x:cfRule>
  </x:conditionalFormatting>
  <x:conditionalFormatting sqref="B31:B31">
    <x:cfRule type="expression" dxfId="117" priority="114">
      <x:formula>AND(B29&lt;Milestones!$F$5,B31&lt;&gt;"",ISERROR(SEARCH("[Complete]",B31)))</x:formula>
    </x:cfRule>
  </x:conditionalFormatting>
  <x:conditionalFormatting sqref="B32:B32">
    <x:cfRule type="expression" dxfId="118" priority="115">
      <x:formula>AND(B29&lt;Milestones!$F$5,B32&lt;&gt;"",ISERROR(SEARCH("[Complete]",B32)))</x:formula>
    </x:cfRule>
  </x:conditionalFormatting>
  <x:conditionalFormatting sqref="B29:B29">
    <x:cfRule type="expression" dxfId="119" priority="116">
      <x:formula>B29=Milestones!$F$5</x:formula>
    </x:cfRule>
  </x:conditionalFormatting>
  <x:conditionalFormatting sqref="C30:C30">
    <x:cfRule type="expression" dxfId="120" priority="117">
      <x:formula>AND(C29&lt;Milestones!$F$5,C30&lt;&gt;"",ISERROR(SEARCH("[Complete]",C30)))</x:formula>
    </x:cfRule>
  </x:conditionalFormatting>
  <x:conditionalFormatting sqref="C31:C31">
    <x:cfRule type="expression" dxfId="121" priority="118">
      <x:formula>AND(C29&lt;Milestones!$F$5,C31&lt;&gt;"",ISERROR(SEARCH("[Complete]",C31)))</x:formula>
    </x:cfRule>
  </x:conditionalFormatting>
  <x:conditionalFormatting sqref="C32:C32">
    <x:cfRule type="expression" dxfId="122" priority="119">
      <x:formula>AND(C29&lt;Milestones!$F$5,C32&lt;&gt;"",ISERROR(SEARCH("[Complete]",C32)))</x:formula>
    </x:cfRule>
  </x:conditionalFormatting>
  <x:conditionalFormatting sqref="C29:C29">
    <x:cfRule type="expression" dxfId="123" priority="120">
      <x:formula>C29=Milestones!$F$5</x:formula>
    </x:cfRule>
  </x:conditionalFormatting>
  <x:conditionalFormatting sqref="D30:D30">
    <x:cfRule type="expression" dxfId="124" priority="121">
      <x:formula>AND(D29&lt;Milestones!$F$5,D30&lt;&gt;"",ISERROR(SEARCH("[Complete]",D30)))</x:formula>
    </x:cfRule>
  </x:conditionalFormatting>
  <x:conditionalFormatting sqref="D31:D31">
    <x:cfRule type="expression" dxfId="125" priority="122">
      <x:formula>AND(D29&lt;Milestones!$F$5,D31&lt;&gt;"",ISERROR(SEARCH("[Complete]",D31)))</x:formula>
    </x:cfRule>
  </x:conditionalFormatting>
  <x:conditionalFormatting sqref="D32:D32">
    <x:cfRule type="expression" dxfId="126" priority="123">
      <x:formula>AND(D29&lt;Milestones!$F$5,D32&lt;&gt;"",ISERROR(SEARCH("[Complete]",D32)))</x:formula>
    </x:cfRule>
  </x:conditionalFormatting>
  <x:conditionalFormatting sqref="D29:D29">
    <x:cfRule type="expression" dxfId="127" priority="124">
      <x:formula>D29=Milestones!$F$5</x:formula>
    </x:cfRule>
  </x:conditionalFormatting>
  <x:conditionalFormatting sqref="E30:E30">
    <x:cfRule type="expression" dxfId="128" priority="125">
      <x:formula>AND(E29&lt;Milestones!$F$5,E30&lt;&gt;"",ISERROR(SEARCH("[Complete]",E30)))</x:formula>
    </x:cfRule>
  </x:conditionalFormatting>
  <x:conditionalFormatting sqref="E31:E31">
    <x:cfRule type="expression" dxfId="129" priority="126">
      <x:formula>AND(E29&lt;Milestones!$F$5,E31&lt;&gt;"",ISERROR(SEARCH("[Complete]",E31)))</x:formula>
    </x:cfRule>
  </x:conditionalFormatting>
  <x:conditionalFormatting sqref="E32:E32">
    <x:cfRule type="expression" dxfId="130" priority="127">
      <x:formula>AND(E29&lt;Milestones!$F$5,E32&lt;&gt;"",ISERROR(SEARCH("[Complete]",E32)))</x:formula>
    </x:cfRule>
  </x:conditionalFormatting>
  <x:conditionalFormatting sqref="E29:E29">
    <x:cfRule type="expression" dxfId="131" priority="128">
      <x:formula>E29=Milestones!$F$5</x:formula>
    </x:cfRule>
  </x:conditionalFormatting>
  <x:conditionalFormatting sqref="F30:F30">
    <x:cfRule type="expression" dxfId="132" priority="129">
      <x:formula>AND(F29&lt;Milestones!$F$5,F30&lt;&gt;"",ISERROR(SEARCH("[Complete]",F30)))</x:formula>
    </x:cfRule>
  </x:conditionalFormatting>
  <x:conditionalFormatting sqref="F31:F31">
    <x:cfRule type="expression" dxfId="133" priority="130">
      <x:formula>AND(F29&lt;Milestones!$F$5,F31&lt;&gt;"",ISERROR(SEARCH("[Complete]",F31)))</x:formula>
    </x:cfRule>
  </x:conditionalFormatting>
  <x:conditionalFormatting sqref="F32:F32">
    <x:cfRule type="expression" dxfId="134" priority="131">
      <x:formula>AND(F29&lt;Milestones!$F$5,F32&lt;&gt;"",ISERROR(SEARCH("[Complete]",F32)))</x:formula>
    </x:cfRule>
  </x:conditionalFormatting>
  <x:conditionalFormatting sqref="F29:F29">
    <x:cfRule type="expression" dxfId="135" priority="132">
      <x:formula>F29=Milestones!$F$5</x:formula>
    </x:cfRule>
  </x:conditionalFormatting>
  <x:conditionalFormatting sqref="G30:G30">
    <x:cfRule type="expression" dxfId="136" priority="133">
      <x:formula>AND(G29&lt;Milestones!$F$5,G30&lt;&gt;"",ISERROR(SEARCH("[Complete]",G30)))</x:formula>
    </x:cfRule>
  </x:conditionalFormatting>
  <x:conditionalFormatting sqref="G31:G31">
    <x:cfRule type="expression" dxfId="137" priority="134">
      <x:formula>AND(G29&lt;Milestones!$F$5,G31&lt;&gt;"",ISERROR(SEARCH("[Complete]",G31)))</x:formula>
    </x:cfRule>
  </x:conditionalFormatting>
  <x:conditionalFormatting sqref="G32:G32">
    <x:cfRule type="expression" dxfId="138" priority="135">
      <x:formula>AND(G29&lt;Milestones!$F$5,G32&lt;&gt;"",ISERROR(SEARCH("[Complete]",G32)))</x:formula>
    </x:cfRule>
  </x:conditionalFormatting>
  <x:conditionalFormatting sqref="G29:G29">
    <x:cfRule type="expression" dxfId="139" priority="136">
      <x:formula>G29=Milestones!$F$5</x:formula>
    </x:cfRule>
  </x:conditionalFormatting>
  <x:conditionalFormatting sqref="H30:H30">
    <x:cfRule type="expression" dxfId="140" priority="137">
      <x:formula>AND(H29&lt;Milestones!$F$5,H30&lt;&gt;"",ISERROR(SEARCH("[Complete]",H30)))</x:formula>
    </x:cfRule>
  </x:conditionalFormatting>
  <x:conditionalFormatting sqref="H31:H31">
    <x:cfRule type="expression" dxfId="141" priority="138">
      <x:formula>AND(H29&lt;Milestones!$F$5,H31&lt;&gt;"",ISERROR(SEARCH("[Complete]",H31)))</x:formula>
    </x:cfRule>
  </x:conditionalFormatting>
  <x:conditionalFormatting sqref="H32:H32">
    <x:cfRule type="expression" dxfId="142" priority="139">
      <x:formula>AND(H29&lt;Milestones!$F$5,H32&lt;&gt;"",ISERROR(SEARCH("[Complete]",H32)))</x:formula>
    </x:cfRule>
  </x:conditionalFormatting>
  <x:conditionalFormatting sqref="H29:H29">
    <x:cfRule type="expression" dxfId="143" priority="140">
      <x:formula>H29=Milestones!$F$5</x:formula>
    </x:cfRule>
  </x:conditionalFormatting>
  <x:conditionalFormatting sqref="B35:B35">
    <x:cfRule type="expression" dxfId="144" priority="141">
      <x:formula>AND(B34&lt;Milestones!$F$5,B35&lt;&gt;"",ISERROR(SEARCH("[Complete]",B35)))</x:formula>
    </x:cfRule>
  </x:conditionalFormatting>
  <x:conditionalFormatting sqref="B36:B36">
    <x:cfRule type="expression" dxfId="145" priority="142">
      <x:formula>AND(B34&lt;Milestones!$F$5,B36&lt;&gt;"",ISERROR(SEARCH("[Complete]",B36)))</x:formula>
    </x:cfRule>
  </x:conditionalFormatting>
  <x:conditionalFormatting sqref="B37:B37">
    <x:cfRule type="expression" dxfId="146" priority="143">
      <x:formula>AND(B34&lt;Milestones!$F$5,B37&lt;&gt;"",ISERROR(SEARCH("[Complete]",B37)))</x:formula>
    </x:cfRule>
  </x:conditionalFormatting>
  <x:conditionalFormatting sqref="B34:B34">
    <x:cfRule type="expression" dxfId="147" priority="144">
      <x:formula>B34=Milestones!$F$5</x:formula>
    </x:cfRule>
  </x:conditionalFormatting>
  <x:conditionalFormatting sqref="C35:C35">
    <x:cfRule type="expression" dxfId="148" priority="145">
      <x:formula>AND(C34&lt;Milestones!$F$5,C35&lt;&gt;"",ISERROR(SEARCH("[Complete]",C35)))</x:formula>
    </x:cfRule>
  </x:conditionalFormatting>
  <x:conditionalFormatting sqref="C36:C36">
    <x:cfRule type="expression" dxfId="149" priority="146">
      <x:formula>AND(C34&lt;Milestones!$F$5,C36&lt;&gt;"",ISERROR(SEARCH("[Complete]",C36)))</x:formula>
    </x:cfRule>
  </x:conditionalFormatting>
  <x:conditionalFormatting sqref="C37:C37">
    <x:cfRule type="expression" dxfId="150" priority="147">
      <x:formula>AND(C34&lt;Milestones!$F$5,C37&lt;&gt;"",ISERROR(SEARCH("[Complete]",C37)))</x:formula>
    </x:cfRule>
  </x:conditionalFormatting>
  <x:conditionalFormatting sqref="C34:C34">
    <x:cfRule type="expression" dxfId="151" priority="148">
      <x:formula>C34=Milestones!$F$5</x:formula>
    </x:cfRule>
  </x:conditionalFormatting>
  <x:conditionalFormatting sqref="D35:D35">
    <x:cfRule type="expression" dxfId="152" priority="149">
      <x:formula>AND(D34&lt;Milestones!$F$5,D35&lt;&gt;"",ISERROR(SEARCH("[Complete]",D35)))</x:formula>
    </x:cfRule>
  </x:conditionalFormatting>
  <x:conditionalFormatting sqref="D36:D36">
    <x:cfRule type="expression" dxfId="153" priority="150">
      <x:formula>AND(D34&lt;Milestones!$F$5,D36&lt;&gt;"",ISERROR(SEARCH("[Complete]",D36)))</x:formula>
    </x:cfRule>
  </x:conditionalFormatting>
  <x:conditionalFormatting sqref="D37:D37">
    <x:cfRule type="expression" dxfId="154" priority="151">
      <x:formula>AND(D34&lt;Milestones!$F$5,D37&lt;&gt;"",ISERROR(SEARCH("[Complete]",D37)))</x:formula>
    </x:cfRule>
  </x:conditionalFormatting>
  <x:conditionalFormatting sqref="D34:D34">
    <x:cfRule type="expression" dxfId="155" priority="152">
      <x:formula>D34=Milestones!$F$5</x:formula>
    </x:cfRule>
  </x:conditionalFormatting>
  <x:conditionalFormatting sqref="E35:E35">
    <x:cfRule type="expression" dxfId="156" priority="153">
      <x:formula>AND(E34&lt;Milestones!$F$5,E35&lt;&gt;"",ISERROR(SEARCH("[Complete]",E35)))</x:formula>
    </x:cfRule>
  </x:conditionalFormatting>
  <x:conditionalFormatting sqref="E36:E36">
    <x:cfRule type="expression" dxfId="157" priority="154">
      <x:formula>AND(E34&lt;Milestones!$F$5,E36&lt;&gt;"",ISERROR(SEARCH("[Complete]",E36)))</x:formula>
    </x:cfRule>
  </x:conditionalFormatting>
  <x:conditionalFormatting sqref="E37:E37">
    <x:cfRule type="expression" dxfId="158" priority="155">
      <x:formula>AND(E34&lt;Milestones!$F$5,E37&lt;&gt;"",ISERROR(SEARCH("[Complete]",E37)))</x:formula>
    </x:cfRule>
  </x:conditionalFormatting>
  <x:conditionalFormatting sqref="E34:E34">
    <x:cfRule type="expression" dxfId="159" priority="156">
      <x:formula>E34=Milestones!$F$5</x:formula>
    </x:cfRule>
  </x:conditionalFormatting>
  <x:conditionalFormatting sqref="F35:F35">
    <x:cfRule type="expression" dxfId="160" priority="157">
      <x:formula>AND(F34&lt;Milestones!$F$5,F35&lt;&gt;"",ISERROR(SEARCH("[Complete]",F35)))</x:formula>
    </x:cfRule>
  </x:conditionalFormatting>
  <x:conditionalFormatting sqref="F36:F36">
    <x:cfRule type="expression" dxfId="161" priority="158">
      <x:formula>AND(F34&lt;Milestones!$F$5,F36&lt;&gt;"",ISERROR(SEARCH("[Complete]",F36)))</x:formula>
    </x:cfRule>
  </x:conditionalFormatting>
  <x:conditionalFormatting sqref="F37:F37">
    <x:cfRule type="expression" dxfId="162" priority="159">
      <x:formula>AND(F34&lt;Milestones!$F$5,F37&lt;&gt;"",ISERROR(SEARCH("[Complete]",F37)))</x:formula>
    </x:cfRule>
  </x:conditionalFormatting>
  <x:conditionalFormatting sqref="F34:F34">
    <x:cfRule type="expression" dxfId="163" priority="160">
      <x:formula>F34=Milestones!$F$5</x:formula>
    </x:cfRule>
  </x:conditionalFormatting>
  <x:conditionalFormatting sqref="G35:G35">
    <x:cfRule type="expression" dxfId="164" priority="161">
      <x:formula>AND(G34&lt;Milestones!$F$5,G35&lt;&gt;"",ISERROR(SEARCH("[Complete]",G35)))</x:formula>
    </x:cfRule>
  </x:conditionalFormatting>
  <x:conditionalFormatting sqref="G36:G36">
    <x:cfRule type="expression" dxfId="165" priority="162">
      <x:formula>AND(G34&lt;Milestones!$F$5,G36&lt;&gt;"",ISERROR(SEARCH("[Complete]",G36)))</x:formula>
    </x:cfRule>
  </x:conditionalFormatting>
  <x:conditionalFormatting sqref="G37:G37">
    <x:cfRule type="expression" dxfId="166" priority="163">
      <x:formula>AND(G34&lt;Milestones!$F$5,G37&lt;&gt;"",ISERROR(SEARCH("[Complete]",G37)))</x:formula>
    </x:cfRule>
  </x:conditionalFormatting>
  <x:conditionalFormatting sqref="G34:G34">
    <x:cfRule type="expression" dxfId="167" priority="164">
      <x:formula>G34=Milestones!$F$5</x:formula>
    </x:cfRule>
  </x:conditionalFormatting>
  <x:conditionalFormatting sqref="H35:H35">
    <x:cfRule type="expression" dxfId="168" priority="165">
      <x:formula>AND(H34&lt;Milestones!$F$5,H35&lt;&gt;"",ISERROR(SEARCH("[Complete]",H35)))</x:formula>
    </x:cfRule>
  </x:conditionalFormatting>
  <x:conditionalFormatting sqref="H36:H36">
    <x:cfRule type="expression" dxfId="169" priority="166">
      <x:formula>AND(H34&lt;Milestones!$F$5,H36&lt;&gt;"",ISERROR(SEARCH("[Complete]",H36)))</x:formula>
    </x:cfRule>
  </x:conditionalFormatting>
  <x:conditionalFormatting sqref="H37:H37">
    <x:cfRule type="expression" dxfId="170" priority="167">
      <x:formula>AND(H34&lt;Milestones!$F$5,H37&lt;&gt;"",ISERROR(SEARCH("[Complete]",H37)))</x:formula>
    </x:cfRule>
  </x:conditionalFormatting>
  <x:conditionalFormatting sqref="H34:H34">
    <x:cfRule type="expression" dxfId="171" priority="168">
      <x:formula>H34=Milestones!$F$5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28ED9"/>
  </x:sheetPr>
  <x:sheetViews>
    <x:sheetView showGridLines="0" workbookViewId="0"/>
  </x:sheetViews>
  <x:sheetFormatPr defaultRowHeight="15"/>
  <x:cols>
    <x:col min="1" max="1" width="5" hidden="0" customWidth="1"/>
    <x:col min="2" max="2" width="5" hidden="0" customWidth="1"/>
    <x:col min="3" max="3" width="5" hidden="0" customWidth="1"/>
    <x:col min="4" max="4" width="5" hidden="0" customWidth="1"/>
    <x:col min="5" max="5" width="5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</x:row>
    <x:row r="2" ht="40" customHeight="1">
      <x:c r="A2" s="3"/>
      <x:c r="B2" s="7" t="str">
        <x:v>YEAR OVERVIEW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3"/>
    </x:row>
    <x:row r="3" ht="23" customHeight="1">
      <x:c r="A3" s="3"/>
      <x:c r="B3" s="16" t="str">
        <x:f>Milestones!C5&amp;" | "&amp;Milestones!C6</x:f>
        <x:v>Website launch | 2027</x:v>
      </x:c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</x:row>
    <x:row r="5" ht="23" customHeight="1">
      <x:c r="A5" s="3"/>
      <x:c r="B5" s="8" t="str">
        <x:v>Coloured dates have milestones. Red dates include overdue work. Completed milestones remain included.</x:v>
      </x:c>
      <x:c r="C5" s="8"/>
      <x:c r="D5" s="8"/>
      <x:c r="E5" s="8"/>
      <x:c r="F5" s="8"/>
      <x:c r="G5" s="8"/>
      <x:c r="H5" s="8"/>
      <x:c r="I5" s="8"/>
      <x:c r="J5" s="8"/>
      <x:c r="K5" s="8"/>
      <x:c r="L5" s="8"/>
      <x:c r="M5" s="8"/>
      <x:c r="N5" s="8"/>
      <x:c r="O5" s="8"/>
      <x:c r="P5" s="8"/>
      <x:c r="Q5" s="8"/>
      <x:c r="R5" s="8"/>
      <x:c r="S5" s="8"/>
      <x:c r="T5" s="8"/>
      <x:c r="U5" s="8"/>
      <x:c r="V5" s="8"/>
      <x:c r="W5" s="8"/>
      <x:c r="X5" s="3"/>
    </x:row>
    <x:row r="6" ht="23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</x:row>
    <x:row r="7" ht="23" customHeight="1">
      <x:c r="A7" s="3"/>
      <x:c r="B7" s="11" t="str">
        <x:v>JANUARY</x:v>
      </x:c>
      <x:c r="C7" s="11" t="str">
        <x:v>JANUARY</x:v>
      </x:c>
      <x:c r="D7" s="11" t="str">
        <x:v>JANUARY</x:v>
      </x:c>
      <x:c r="E7" s="11" t="str">
        <x:v>JANUARY</x:v>
      </x:c>
      <x:c r="F7" s="11" t="str">
        <x:v>JANUARY</x:v>
      </x:c>
      <x:c r="G7" s="11" t="str">
        <x:v>JANUARY</x:v>
      </x:c>
      <x:c r="H7" s="11" t="str">
        <x:v>JANUARY</x:v>
      </x:c>
      <x:c r="I7" s="3"/>
      <x:c r="J7" s="11" t="str">
        <x:v>FEBRUARY</x:v>
      </x:c>
      <x:c r="K7" s="11" t="str">
        <x:v>FEBRUARY</x:v>
      </x:c>
      <x:c r="L7" s="11" t="str">
        <x:v>FEBRUARY</x:v>
      </x:c>
      <x:c r="M7" s="11" t="str">
        <x:v>FEBRUARY</x:v>
      </x:c>
      <x:c r="N7" s="11" t="str">
        <x:v>FEBRUARY</x:v>
      </x:c>
      <x:c r="O7" s="11" t="str">
        <x:v>FEBRUARY</x:v>
      </x:c>
      <x:c r="P7" s="11" t="str">
        <x:v>FEBRUARY</x:v>
      </x:c>
      <x:c r="Q7" s="3"/>
      <x:c r="R7" s="11" t="str">
        <x:v>MARCH</x:v>
      </x:c>
      <x:c r="S7" s="11" t="str">
        <x:v>MARCH</x:v>
      </x:c>
      <x:c r="T7" s="11" t="str">
        <x:v>MARCH</x:v>
      </x:c>
      <x:c r="U7" s="11" t="str">
        <x:v>MARCH</x:v>
      </x:c>
      <x:c r="V7" s="11" t="str">
        <x:v>MARCH</x:v>
      </x:c>
      <x:c r="W7" s="11" t="str">
        <x:v>MARCH</x:v>
      </x:c>
      <x:c r="X7" s="11" t="str">
        <x:v>MARCH</x:v>
      </x:c>
    </x:row>
    <x:row r="8" ht="23" customHeight="1">
      <x:c r="A8" s="3"/>
      <x:c r="B8" s="3" t="str">
        <x:v>M</x:v>
      </x:c>
      <x:c r="C8" s="3" t="str">
        <x:v>T</x:v>
      </x:c>
      <x:c r="D8" s="3" t="str">
        <x:v>W</x:v>
      </x:c>
      <x:c r="E8" s="3" t="str">
        <x:v>T</x:v>
      </x:c>
      <x:c r="F8" s="3" t="str">
        <x:v>F</x:v>
      </x:c>
      <x:c r="G8" s="3" t="str">
        <x:v>S</x:v>
      </x:c>
      <x:c r="H8" s="3" t="str">
        <x:v>S</x:v>
      </x:c>
      <x:c r="I8" s="3"/>
      <x:c r="J8" s="3" t="str">
        <x:v>M</x:v>
      </x:c>
      <x:c r="K8" s="3" t="str">
        <x:v>T</x:v>
      </x:c>
      <x:c r="L8" s="3" t="str">
        <x:v>W</x:v>
      </x:c>
      <x:c r="M8" s="3" t="str">
        <x:v>T</x:v>
      </x:c>
      <x:c r="N8" s="3" t="str">
        <x:v>F</x:v>
      </x:c>
      <x:c r="O8" s="3" t="str">
        <x:v>S</x:v>
      </x:c>
      <x:c r="P8" s="3" t="str">
        <x:v>S</x:v>
      </x:c>
      <x:c r="Q8" s="3"/>
      <x:c r="R8" s="3" t="str">
        <x:v>M</x:v>
      </x:c>
      <x:c r="S8" s="3" t="str">
        <x:v>T</x:v>
      </x:c>
      <x:c r="T8" s="3" t="str">
        <x:v>W</x:v>
      </x:c>
      <x:c r="U8" s="3" t="str">
        <x:v>T</x:v>
      </x:c>
      <x:c r="V8" s="3" t="str">
        <x:v>F</x:v>
      </x:c>
      <x:c r="W8" s="3" t="str">
        <x:v>S</x:v>
      </x:c>
      <x:c r="X8" s="3" t="str">
        <x:v>S</x:v>
      </x:c>
    </x:row>
    <x:row r="9" ht="23" customHeight="1">
      <x:c r="A9" s="3"/>
      <x:c r="B9" s="34" t="str">
        <x:f>IF(MONTH(DATE(Milestones!$C$6,1,1)-WEEKDAY(DATE(Milestones!$C$6,1,1),2)+1+0)=1,DATE(Milestones!$C$6,1,1)-WEEKDAY(DATE(Milestones!$C$6,1,1),2)+1+0,"")</x:f>
      </x:c>
      <x:c r="C9" s="34" t="str">
        <x:f>IF(MONTH(DATE(Milestones!$C$6,1,1)-WEEKDAY(DATE(Milestones!$C$6,1,1),2)+1+1)=1,DATE(Milestones!$C$6,1,1)-WEEKDAY(DATE(Milestones!$C$6,1,1),2)+1+1,"")</x:f>
      </x:c>
      <x:c r="D9" s="34" t="str">
        <x:f>IF(MONTH(DATE(Milestones!$C$6,1,1)-WEEKDAY(DATE(Milestones!$C$6,1,1),2)+1+2)=1,DATE(Milestones!$C$6,1,1)-WEEKDAY(DATE(Milestones!$C$6,1,1),2)+1+2,"")</x:f>
      </x:c>
      <x:c r="E9" s="34" t="str">
        <x:f>IF(MONTH(DATE(Milestones!$C$6,1,1)-WEEKDAY(DATE(Milestones!$C$6,1,1),2)+1+3)=1,DATE(Milestones!$C$6,1,1)-WEEKDAY(DATE(Milestones!$C$6,1,1),2)+1+3,"")</x:f>
      </x:c>
      <x:c r="F9" s="34" t="n">
        <x:f>IF(MONTH(DATE(Milestones!$C$6,1,1)-WEEKDAY(DATE(Milestones!$C$6,1,1),2)+1+4)=1,DATE(Milestones!$C$6,1,1)-WEEKDAY(DATE(Milestones!$C$6,1,1),2)+1+4,"")</x:f>
        <x:v>46388</x:v>
      </x:c>
      <x:c r="G9" s="34" t="n">
        <x:f>IF(MONTH(DATE(Milestones!$C$6,1,1)-WEEKDAY(DATE(Milestones!$C$6,1,1),2)+1+5)=1,DATE(Milestones!$C$6,1,1)-WEEKDAY(DATE(Milestones!$C$6,1,1),2)+1+5,"")</x:f>
        <x:v>46389</x:v>
      </x:c>
      <x:c r="H9" s="34" t="n">
        <x:f>IF(MONTH(DATE(Milestones!$C$6,1,1)-WEEKDAY(DATE(Milestones!$C$6,1,1),2)+1+6)=1,DATE(Milestones!$C$6,1,1)-WEEKDAY(DATE(Milestones!$C$6,1,1),2)+1+6,"")</x:f>
        <x:v>46390</x:v>
      </x:c>
      <x:c r="I9" s="3"/>
      <x:c r="J9" s="34" t="n">
        <x:f>IF(MONTH(DATE(Milestones!$C$6,2,1)-WEEKDAY(DATE(Milestones!$C$6,2,1),2)+1+0)=2,DATE(Milestones!$C$6,2,1)-WEEKDAY(DATE(Milestones!$C$6,2,1),2)+1+0,"")</x:f>
        <x:v>46419</x:v>
      </x:c>
      <x:c r="K9" s="34" t="n">
        <x:f>IF(MONTH(DATE(Milestones!$C$6,2,1)-WEEKDAY(DATE(Milestones!$C$6,2,1),2)+1+1)=2,DATE(Milestones!$C$6,2,1)-WEEKDAY(DATE(Milestones!$C$6,2,1),2)+1+1,"")</x:f>
        <x:v>46420</x:v>
      </x:c>
      <x:c r="L9" s="34" t="n">
        <x:f>IF(MONTH(DATE(Milestones!$C$6,2,1)-WEEKDAY(DATE(Milestones!$C$6,2,1),2)+1+2)=2,DATE(Milestones!$C$6,2,1)-WEEKDAY(DATE(Milestones!$C$6,2,1),2)+1+2,"")</x:f>
        <x:v>46421</x:v>
      </x:c>
      <x:c r="M9" s="34" t="n">
        <x:f>IF(MONTH(DATE(Milestones!$C$6,2,1)-WEEKDAY(DATE(Milestones!$C$6,2,1),2)+1+3)=2,DATE(Milestones!$C$6,2,1)-WEEKDAY(DATE(Milestones!$C$6,2,1),2)+1+3,"")</x:f>
        <x:v>46422</x:v>
      </x:c>
      <x:c r="N9" s="34" t="n">
        <x:f>IF(MONTH(DATE(Milestones!$C$6,2,1)-WEEKDAY(DATE(Milestones!$C$6,2,1),2)+1+4)=2,DATE(Milestones!$C$6,2,1)-WEEKDAY(DATE(Milestones!$C$6,2,1),2)+1+4,"")</x:f>
        <x:v>46423</x:v>
      </x:c>
      <x:c r="O9" s="34" t="n">
        <x:f>IF(MONTH(DATE(Milestones!$C$6,2,1)-WEEKDAY(DATE(Milestones!$C$6,2,1),2)+1+5)=2,DATE(Milestones!$C$6,2,1)-WEEKDAY(DATE(Milestones!$C$6,2,1),2)+1+5,"")</x:f>
        <x:v>46424</x:v>
      </x:c>
      <x:c r="P9" s="34" t="n">
        <x:f>IF(MONTH(DATE(Milestones!$C$6,2,1)-WEEKDAY(DATE(Milestones!$C$6,2,1),2)+1+6)=2,DATE(Milestones!$C$6,2,1)-WEEKDAY(DATE(Milestones!$C$6,2,1),2)+1+6,"")</x:f>
        <x:v>46425</x:v>
      </x:c>
      <x:c r="Q9" s="3"/>
      <x:c r="R9" s="34" t="n">
        <x:f>IF(MONTH(DATE(Milestones!$C$6,3,1)-WEEKDAY(DATE(Milestones!$C$6,3,1),2)+1+0)=3,DATE(Milestones!$C$6,3,1)-WEEKDAY(DATE(Milestones!$C$6,3,1),2)+1+0,"")</x:f>
        <x:v>46447</x:v>
      </x:c>
      <x:c r="S9" s="34" t="n">
        <x:f>IF(MONTH(DATE(Milestones!$C$6,3,1)-WEEKDAY(DATE(Milestones!$C$6,3,1),2)+1+1)=3,DATE(Milestones!$C$6,3,1)-WEEKDAY(DATE(Milestones!$C$6,3,1),2)+1+1,"")</x:f>
        <x:v>46448</x:v>
      </x:c>
      <x:c r="T9" s="34" t="n">
        <x:f>IF(MONTH(DATE(Milestones!$C$6,3,1)-WEEKDAY(DATE(Milestones!$C$6,3,1),2)+1+2)=3,DATE(Milestones!$C$6,3,1)-WEEKDAY(DATE(Milestones!$C$6,3,1),2)+1+2,"")</x:f>
        <x:v>46449</x:v>
      </x:c>
      <x:c r="U9" s="34" t="n">
        <x:f>IF(MONTH(DATE(Milestones!$C$6,3,1)-WEEKDAY(DATE(Milestones!$C$6,3,1),2)+1+3)=3,DATE(Milestones!$C$6,3,1)-WEEKDAY(DATE(Milestones!$C$6,3,1),2)+1+3,"")</x:f>
        <x:v>46450</x:v>
      </x:c>
      <x:c r="V9" s="34" t="n">
        <x:f>IF(MONTH(DATE(Milestones!$C$6,3,1)-WEEKDAY(DATE(Milestones!$C$6,3,1),2)+1+4)=3,DATE(Milestones!$C$6,3,1)-WEEKDAY(DATE(Milestones!$C$6,3,1),2)+1+4,"")</x:f>
        <x:v>46451</x:v>
      </x:c>
      <x:c r="W9" s="34" t="n">
        <x:f>IF(MONTH(DATE(Milestones!$C$6,3,1)-WEEKDAY(DATE(Milestones!$C$6,3,1),2)+1+5)=3,DATE(Milestones!$C$6,3,1)-WEEKDAY(DATE(Milestones!$C$6,3,1),2)+1+5,"")</x:f>
        <x:v>46452</x:v>
      </x:c>
      <x:c r="X9" s="34" t="n">
        <x:f>IF(MONTH(DATE(Milestones!$C$6,3,1)-WEEKDAY(DATE(Milestones!$C$6,3,1),2)+1+6)=3,DATE(Milestones!$C$6,3,1)-WEEKDAY(DATE(Milestones!$C$6,3,1),2)+1+6,"")</x:f>
        <x:v>46453</x:v>
      </x:c>
    </x:row>
    <x:row r="10" ht="23" customHeight="1">
      <x:c r="A10" s="3"/>
      <x:c r="B10" s="34" t="n">
        <x:f>IF(MONTH(DATE(Milestones!$C$6,1,1)-WEEKDAY(DATE(Milestones!$C$6,1,1),2)+1+7)=1,DATE(Milestones!$C$6,1,1)-WEEKDAY(DATE(Milestones!$C$6,1,1),2)+1+7,"")</x:f>
        <x:v>46391</x:v>
      </x:c>
      <x:c r="C10" s="34" t="n">
        <x:f>IF(MONTH(DATE(Milestones!$C$6,1,1)-WEEKDAY(DATE(Milestones!$C$6,1,1),2)+1+8)=1,DATE(Milestones!$C$6,1,1)-WEEKDAY(DATE(Milestones!$C$6,1,1),2)+1+8,"")</x:f>
        <x:v>46392</x:v>
      </x:c>
      <x:c r="D10" s="34" t="n">
        <x:f>IF(MONTH(DATE(Milestones!$C$6,1,1)-WEEKDAY(DATE(Milestones!$C$6,1,1),2)+1+9)=1,DATE(Milestones!$C$6,1,1)-WEEKDAY(DATE(Milestones!$C$6,1,1),2)+1+9,"")</x:f>
        <x:v>46393</x:v>
      </x:c>
      <x:c r="E10" s="34" t="n">
        <x:f>IF(MONTH(DATE(Milestones!$C$6,1,1)-WEEKDAY(DATE(Milestones!$C$6,1,1),2)+1+10)=1,DATE(Milestones!$C$6,1,1)-WEEKDAY(DATE(Milestones!$C$6,1,1),2)+1+10,"")</x:f>
        <x:v>46394</x:v>
      </x:c>
      <x:c r="F10" s="34" t="n">
        <x:f>IF(MONTH(DATE(Milestones!$C$6,1,1)-WEEKDAY(DATE(Milestones!$C$6,1,1),2)+1+11)=1,DATE(Milestones!$C$6,1,1)-WEEKDAY(DATE(Milestones!$C$6,1,1),2)+1+11,"")</x:f>
        <x:v>46395</x:v>
      </x:c>
      <x:c r="G10" s="34" t="n">
        <x:f>IF(MONTH(DATE(Milestones!$C$6,1,1)-WEEKDAY(DATE(Milestones!$C$6,1,1),2)+1+12)=1,DATE(Milestones!$C$6,1,1)-WEEKDAY(DATE(Milestones!$C$6,1,1),2)+1+12,"")</x:f>
        <x:v>46396</x:v>
      </x:c>
      <x:c r="H10" s="34" t="n">
        <x:f>IF(MONTH(DATE(Milestones!$C$6,1,1)-WEEKDAY(DATE(Milestones!$C$6,1,1),2)+1+13)=1,DATE(Milestones!$C$6,1,1)-WEEKDAY(DATE(Milestones!$C$6,1,1),2)+1+13,"")</x:f>
        <x:v>46397</x:v>
      </x:c>
      <x:c r="I10" s="3"/>
      <x:c r="J10" s="34" t="n">
        <x:f>IF(MONTH(DATE(Milestones!$C$6,2,1)-WEEKDAY(DATE(Milestones!$C$6,2,1),2)+1+7)=2,DATE(Milestones!$C$6,2,1)-WEEKDAY(DATE(Milestones!$C$6,2,1),2)+1+7,"")</x:f>
        <x:v>46426</x:v>
      </x:c>
      <x:c r="K10" s="34" t="n">
        <x:f>IF(MONTH(DATE(Milestones!$C$6,2,1)-WEEKDAY(DATE(Milestones!$C$6,2,1),2)+1+8)=2,DATE(Milestones!$C$6,2,1)-WEEKDAY(DATE(Milestones!$C$6,2,1),2)+1+8,"")</x:f>
        <x:v>46427</x:v>
      </x:c>
      <x:c r="L10" s="34" t="n">
        <x:f>IF(MONTH(DATE(Milestones!$C$6,2,1)-WEEKDAY(DATE(Milestones!$C$6,2,1),2)+1+9)=2,DATE(Milestones!$C$6,2,1)-WEEKDAY(DATE(Milestones!$C$6,2,1),2)+1+9,"")</x:f>
        <x:v>46428</x:v>
      </x:c>
      <x:c r="M10" s="34" t="n">
        <x:f>IF(MONTH(DATE(Milestones!$C$6,2,1)-WEEKDAY(DATE(Milestones!$C$6,2,1),2)+1+10)=2,DATE(Milestones!$C$6,2,1)-WEEKDAY(DATE(Milestones!$C$6,2,1),2)+1+10,"")</x:f>
        <x:v>46429</x:v>
      </x:c>
      <x:c r="N10" s="34" t="n">
        <x:f>IF(MONTH(DATE(Milestones!$C$6,2,1)-WEEKDAY(DATE(Milestones!$C$6,2,1),2)+1+11)=2,DATE(Milestones!$C$6,2,1)-WEEKDAY(DATE(Milestones!$C$6,2,1),2)+1+11,"")</x:f>
        <x:v>46430</x:v>
      </x:c>
      <x:c r="O10" s="34" t="n">
        <x:f>IF(MONTH(DATE(Milestones!$C$6,2,1)-WEEKDAY(DATE(Milestones!$C$6,2,1),2)+1+12)=2,DATE(Milestones!$C$6,2,1)-WEEKDAY(DATE(Milestones!$C$6,2,1),2)+1+12,"")</x:f>
        <x:v>46431</x:v>
      </x:c>
      <x:c r="P10" s="34" t="n">
        <x:f>IF(MONTH(DATE(Milestones!$C$6,2,1)-WEEKDAY(DATE(Milestones!$C$6,2,1),2)+1+13)=2,DATE(Milestones!$C$6,2,1)-WEEKDAY(DATE(Milestones!$C$6,2,1),2)+1+13,"")</x:f>
        <x:v>46432</x:v>
      </x:c>
      <x:c r="Q10" s="3"/>
      <x:c r="R10" s="34" t="n">
        <x:f>IF(MONTH(DATE(Milestones!$C$6,3,1)-WEEKDAY(DATE(Milestones!$C$6,3,1),2)+1+7)=3,DATE(Milestones!$C$6,3,1)-WEEKDAY(DATE(Milestones!$C$6,3,1),2)+1+7,"")</x:f>
        <x:v>46454</x:v>
      </x:c>
      <x:c r="S10" s="34" t="n">
        <x:f>IF(MONTH(DATE(Milestones!$C$6,3,1)-WEEKDAY(DATE(Milestones!$C$6,3,1),2)+1+8)=3,DATE(Milestones!$C$6,3,1)-WEEKDAY(DATE(Milestones!$C$6,3,1),2)+1+8,"")</x:f>
        <x:v>46455</x:v>
      </x:c>
      <x:c r="T10" s="34" t="n">
        <x:f>IF(MONTH(DATE(Milestones!$C$6,3,1)-WEEKDAY(DATE(Milestones!$C$6,3,1),2)+1+9)=3,DATE(Milestones!$C$6,3,1)-WEEKDAY(DATE(Milestones!$C$6,3,1),2)+1+9,"")</x:f>
        <x:v>46456</x:v>
      </x:c>
      <x:c r="U10" s="34" t="n">
        <x:f>IF(MONTH(DATE(Milestones!$C$6,3,1)-WEEKDAY(DATE(Milestones!$C$6,3,1),2)+1+10)=3,DATE(Milestones!$C$6,3,1)-WEEKDAY(DATE(Milestones!$C$6,3,1),2)+1+10,"")</x:f>
        <x:v>46457</x:v>
      </x:c>
      <x:c r="V10" s="34" t="n">
        <x:f>IF(MONTH(DATE(Milestones!$C$6,3,1)-WEEKDAY(DATE(Milestones!$C$6,3,1),2)+1+11)=3,DATE(Milestones!$C$6,3,1)-WEEKDAY(DATE(Milestones!$C$6,3,1),2)+1+11,"")</x:f>
        <x:v>46458</x:v>
      </x:c>
      <x:c r="W10" s="34" t="n">
        <x:f>IF(MONTH(DATE(Milestones!$C$6,3,1)-WEEKDAY(DATE(Milestones!$C$6,3,1),2)+1+12)=3,DATE(Milestones!$C$6,3,1)-WEEKDAY(DATE(Milestones!$C$6,3,1),2)+1+12,"")</x:f>
        <x:v>46459</x:v>
      </x:c>
      <x:c r="X10" s="34" t="n">
        <x:f>IF(MONTH(DATE(Milestones!$C$6,3,1)-WEEKDAY(DATE(Milestones!$C$6,3,1),2)+1+13)=3,DATE(Milestones!$C$6,3,1)-WEEKDAY(DATE(Milestones!$C$6,3,1),2)+1+13,"")</x:f>
        <x:v>46460</x:v>
      </x:c>
    </x:row>
    <x:row r="11" ht="23" customHeight="1">
      <x:c r="A11" s="3"/>
      <x:c r="B11" s="34" t="n">
        <x:f>IF(MONTH(DATE(Milestones!$C$6,1,1)-WEEKDAY(DATE(Milestones!$C$6,1,1),2)+1+14)=1,DATE(Milestones!$C$6,1,1)-WEEKDAY(DATE(Milestones!$C$6,1,1),2)+1+14,"")</x:f>
        <x:v>46398</x:v>
      </x:c>
      <x:c r="C11" s="34" t="n">
        <x:f>IF(MONTH(DATE(Milestones!$C$6,1,1)-WEEKDAY(DATE(Milestones!$C$6,1,1),2)+1+15)=1,DATE(Milestones!$C$6,1,1)-WEEKDAY(DATE(Milestones!$C$6,1,1),2)+1+15,"")</x:f>
        <x:v>46399</x:v>
      </x:c>
      <x:c r="D11" s="34" t="n">
        <x:f>IF(MONTH(DATE(Milestones!$C$6,1,1)-WEEKDAY(DATE(Milestones!$C$6,1,1),2)+1+16)=1,DATE(Milestones!$C$6,1,1)-WEEKDAY(DATE(Milestones!$C$6,1,1),2)+1+16,"")</x:f>
        <x:v>46400</x:v>
      </x:c>
      <x:c r="E11" s="34" t="n">
        <x:f>IF(MONTH(DATE(Milestones!$C$6,1,1)-WEEKDAY(DATE(Milestones!$C$6,1,1),2)+1+17)=1,DATE(Milestones!$C$6,1,1)-WEEKDAY(DATE(Milestones!$C$6,1,1),2)+1+17,"")</x:f>
        <x:v>46401</x:v>
      </x:c>
      <x:c r="F11" s="34" t="n">
        <x:f>IF(MONTH(DATE(Milestones!$C$6,1,1)-WEEKDAY(DATE(Milestones!$C$6,1,1),2)+1+18)=1,DATE(Milestones!$C$6,1,1)-WEEKDAY(DATE(Milestones!$C$6,1,1),2)+1+18,"")</x:f>
        <x:v>46402</x:v>
      </x:c>
      <x:c r="G11" s="34" t="n">
        <x:f>IF(MONTH(DATE(Milestones!$C$6,1,1)-WEEKDAY(DATE(Milestones!$C$6,1,1),2)+1+19)=1,DATE(Milestones!$C$6,1,1)-WEEKDAY(DATE(Milestones!$C$6,1,1),2)+1+19,"")</x:f>
        <x:v>46403</x:v>
      </x:c>
      <x:c r="H11" s="34" t="n">
        <x:f>IF(MONTH(DATE(Milestones!$C$6,1,1)-WEEKDAY(DATE(Milestones!$C$6,1,1),2)+1+20)=1,DATE(Milestones!$C$6,1,1)-WEEKDAY(DATE(Milestones!$C$6,1,1),2)+1+20,"")</x:f>
        <x:v>46404</x:v>
      </x:c>
      <x:c r="I11" s="3"/>
      <x:c r="J11" s="34" t="n">
        <x:f>IF(MONTH(DATE(Milestones!$C$6,2,1)-WEEKDAY(DATE(Milestones!$C$6,2,1),2)+1+14)=2,DATE(Milestones!$C$6,2,1)-WEEKDAY(DATE(Milestones!$C$6,2,1),2)+1+14,"")</x:f>
        <x:v>46433</x:v>
      </x:c>
      <x:c r="K11" s="34" t="n">
        <x:f>IF(MONTH(DATE(Milestones!$C$6,2,1)-WEEKDAY(DATE(Milestones!$C$6,2,1),2)+1+15)=2,DATE(Milestones!$C$6,2,1)-WEEKDAY(DATE(Milestones!$C$6,2,1),2)+1+15,"")</x:f>
        <x:v>46434</x:v>
      </x:c>
      <x:c r="L11" s="34" t="n">
        <x:f>IF(MONTH(DATE(Milestones!$C$6,2,1)-WEEKDAY(DATE(Milestones!$C$6,2,1),2)+1+16)=2,DATE(Milestones!$C$6,2,1)-WEEKDAY(DATE(Milestones!$C$6,2,1),2)+1+16,"")</x:f>
        <x:v>46435</x:v>
      </x:c>
      <x:c r="M11" s="34" t="n">
        <x:f>IF(MONTH(DATE(Milestones!$C$6,2,1)-WEEKDAY(DATE(Milestones!$C$6,2,1),2)+1+17)=2,DATE(Milestones!$C$6,2,1)-WEEKDAY(DATE(Milestones!$C$6,2,1),2)+1+17,"")</x:f>
        <x:v>46436</x:v>
      </x:c>
      <x:c r="N11" s="34" t="n">
        <x:f>IF(MONTH(DATE(Milestones!$C$6,2,1)-WEEKDAY(DATE(Milestones!$C$6,2,1),2)+1+18)=2,DATE(Milestones!$C$6,2,1)-WEEKDAY(DATE(Milestones!$C$6,2,1),2)+1+18,"")</x:f>
        <x:v>46437</x:v>
      </x:c>
      <x:c r="O11" s="34" t="n">
        <x:f>IF(MONTH(DATE(Milestones!$C$6,2,1)-WEEKDAY(DATE(Milestones!$C$6,2,1),2)+1+19)=2,DATE(Milestones!$C$6,2,1)-WEEKDAY(DATE(Milestones!$C$6,2,1),2)+1+19,"")</x:f>
        <x:v>46438</x:v>
      </x:c>
      <x:c r="P11" s="34" t="n">
        <x:f>IF(MONTH(DATE(Milestones!$C$6,2,1)-WEEKDAY(DATE(Milestones!$C$6,2,1),2)+1+20)=2,DATE(Milestones!$C$6,2,1)-WEEKDAY(DATE(Milestones!$C$6,2,1),2)+1+20,"")</x:f>
        <x:v>46439</x:v>
      </x:c>
      <x:c r="Q11" s="3"/>
      <x:c r="R11" s="34" t="n">
        <x:f>IF(MONTH(DATE(Milestones!$C$6,3,1)-WEEKDAY(DATE(Milestones!$C$6,3,1),2)+1+14)=3,DATE(Milestones!$C$6,3,1)-WEEKDAY(DATE(Milestones!$C$6,3,1),2)+1+14,"")</x:f>
        <x:v>46461</x:v>
      </x:c>
      <x:c r="S11" s="34" t="n">
        <x:f>IF(MONTH(DATE(Milestones!$C$6,3,1)-WEEKDAY(DATE(Milestones!$C$6,3,1),2)+1+15)=3,DATE(Milestones!$C$6,3,1)-WEEKDAY(DATE(Milestones!$C$6,3,1),2)+1+15,"")</x:f>
        <x:v>46462</x:v>
      </x:c>
      <x:c r="T11" s="34" t="n">
        <x:f>IF(MONTH(DATE(Milestones!$C$6,3,1)-WEEKDAY(DATE(Milestones!$C$6,3,1),2)+1+16)=3,DATE(Milestones!$C$6,3,1)-WEEKDAY(DATE(Milestones!$C$6,3,1),2)+1+16,"")</x:f>
        <x:v>46463</x:v>
      </x:c>
      <x:c r="U11" s="34" t="n">
        <x:f>IF(MONTH(DATE(Milestones!$C$6,3,1)-WEEKDAY(DATE(Milestones!$C$6,3,1),2)+1+17)=3,DATE(Milestones!$C$6,3,1)-WEEKDAY(DATE(Milestones!$C$6,3,1),2)+1+17,"")</x:f>
        <x:v>46464</x:v>
      </x:c>
      <x:c r="V11" s="34" t="n">
        <x:f>IF(MONTH(DATE(Milestones!$C$6,3,1)-WEEKDAY(DATE(Milestones!$C$6,3,1),2)+1+18)=3,DATE(Milestones!$C$6,3,1)-WEEKDAY(DATE(Milestones!$C$6,3,1),2)+1+18,"")</x:f>
        <x:v>46465</x:v>
      </x:c>
      <x:c r="W11" s="34" t="n">
        <x:f>IF(MONTH(DATE(Milestones!$C$6,3,1)-WEEKDAY(DATE(Milestones!$C$6,3,1),2)+1+19)=3,DATE(Milestones!$C$6,3,1)-WEEKDAY(DATE(Milestones!$C$6,3,1),2)+1+19,"")</x:f>
        <x:v>46466</x:v>
      </x:c>
      <x:c r="X11" s="34" t="n">
        <x:f>IF(MONTH(DATE(Milestones!$C$6,3,1)-WEEKDAY(DATE(Milestones!$C$6,3,1),2)+1+20)=3,DATE(Milestones!$C$6,3,1)-WEEKDAY(DATE(Milestones!$C$6,3,1),2)+1+20,"")</x:f>
        <x:v>46467</x:v>
      </x:c>
    </x:row>
    <x:row r="12" ht="23" customHeight="1">
      <x:c r="A12" s="3"/>
      <x:c r="B12" s="34" t="n">
        <x:f>IF(MONTH(DATE(Milestones!$C$6,1,1)-WEEKDAY(DATE(Milestones!$C$6,1,1),2)+1+21)=1,DATE(Milestones!$C$6,1,1)-WEEKDAY(DATE(Milestones!$C$6,1,1),2)+1+21,"")</x:f>
        <x:v>46405</x:v>
      </x:c>
      <x:c r="C12" s="34" t="n">
        <x:f>IF(MONTH(DATE(Milestones!$C$6,1,1)-WEEKDAY(DATE(Milestones!$C$6,1,1),2)+1+22)=1,DATE(Milestones!$C$6,1,1)-WEEKDAY(DATE(Milestones!$C$6,1,1),2)+1+22,"")</x:f>
        <x:v>46406</x:v>
      </x:c>
      <x:c r="D12" s="34" t="n">
        <x:f>IF(MONTH(DATE(Milestones!$C$6,1,1)-WEEKDAY(DATE(Milestones!$C$6,1,1),2)+1+23)=1,DATE(Milestones!$C$6,1,1)-WEEKDAY(DATE(Milestones!$C$6,1,1),2)+1+23,"")</x:f>
        <x:v>46407</x:v>
      </x:c>
      <x:c r="E12" s="34" t="n">
        <x:f>IF(MONTH(DATE(Milestones!$C$6,1,1)-WEEKDAY(DATE(Milestones!$C$6,1,1),2)+1+24)=1,DATE(Milestones!$C$6,1,1)-WEEKDAY(DATE(Milestones!$C$6,1,1),2)+1+24,"")</x:f>
        <x:v>46408</x:v>
      </x:c>
      <x:c r="F12" s="34" t="n">
        <x:f>IF(MONTH(DATE(Milestones!$C$6,1,1)-WEEKDAY(DATE(Milestones!$C$6,1,1),2)+1+25)=1,DATE(Milestones!$C$6,1,1)-WEEKDAY(DATE(Milestones!$C$6,1,1),2)+1+25,"")</x:f>
        <x:v>46409</x:v>
      </x:c>
      <x:c r="G12" s="34" t="n">
        <x:f>IF(MONTH(DATE(Milestones!$C$6,1,1)-WEEKDAY(DATE(Milestones!$C$6,1,1),2)+1+26)=1,DATE(Milestones!$C$6,1,1)-WEEKDAY(DATE(Milestones!$C$6,1,1),2)+1+26,"")</x:f>
        <x:v>46410</x:v>
      </x:c>
      <x:c r="H12" s="34" t="n">
        <x:f>IF(MONTH(DATE(Milestones!$C$6,1,1)-WEEKDAY(DATE(Milestones!$C$6,1,1),2)+1+27)=1,DATE(Milestones!$C$6,1,1)-WEEKDAY(DATE(Milestones!$C$6,1,1),2)+1+27,"")</x:f>
        <x:v>46411</x:v>
      </x:c>
      <x:c r="I12" s="3"/>
      <x:c r="J12" s="34" t="n">
        <x:f>IF(MONTH(DATE(Milestones!$C$6,2,1)-WEEKDAY(DATE(Milestones!$C$6,2,1),2)+1+21)=2,DATE(Milestones!$C$6,2,1)-WEEKDAY(DATE(Milestones!$C$6,2,1),2)+1+21,"")</x:f>
        <x:v>46440</x:v>
      </x:c>
      <x:c r="K12" s="34" t="n">
        <x:f>IF(MONTH(DATE(Milestones!$C$6,2,1)-WEEKDAY(DATE(Milestones!$C$6,2,1),2)+1+22)=2,DATE(Milestones!$C$6,2,1)-WEEKDAY(DATE(Milestones!$C$6,2,1),2)+1+22,"")</x:f>
        <x:v>46441</x:v>
      </x:c>
      <x:c r="L12" s="34" t="n">
        <x:f>IF(MONTH(DATE(Milestones!$C$6,2,1)-WEEKDAY(DATE(Milestones!$C$6,2,1),2)+1+23)=2,DATE(Milestones!$C$6,2,1)-WEEKDAY(DATE(Milestones!$C$6,2,1),2)+1+23,"")</x:f>
        <x:v>46442</x:v>
      </x:c>
      <x:c r="M12" s="34" t="n">
        <x:f>IF(MONTH(DATE(Milestones!$C$6,2,1)-WEEKDAY(DATE(Milestones!$C$6,2,1),2)+1+24)=2,DATE(Milestones!$C$6,2,1)-WEEKDAY(DATE(Milestones!$C$6,2,1),2)+1+24,"")</x:f>
        <x:v>46443</x:v>
      </x:c>
      <x:c r="N12" s="34" t="n">
        <x:f>IF(MONTH(DATE(Milestones!$C$6,2,1)-WEEKDAY(DATE(Milestones!$C$6,2,1),2)+1+25)=2,DATE(Milestones!$C$6,2,1)-WEEKDAY(DATE(Milestones!$C$6,2,1),2)+1+25,"")</x:f>
        <x:v>46444</x:v>
      </x:c>
      <x:c r="O12" s="34" t="n">
        <x:f>IF(MONTH(DATE(Milestones!$C$6,2,1)-WEEKDAY(DATE(Milestones!$C$6,2,1),2)+1+26)=2,DATE(Milestones!$C$6,2,1)-WEEKDAY(DATE(Milestones!$C$6,2,1),2)+1+26,"")</x:f>
        <x:v>46445</x:v>
      </x:c>
      <x:c r="P12" s="34" t="n">
        <x:f>IF(MONTH(DATE(Milestones!$C$6,2,1)-WEEKDAY(DATE(Milestones!$C$6,2,1),2)+1+27)=2,DATE(Milestones!$C$6,2,1)-WEEKDAY(DATE(Milestones!$C$6,2,1),2)+1+27,"")</x:f>
        <x:v>46446</x:v>
      </x:c>
      <x:c r="Q12" s="3"/>
      <x:c r="R12" s="34" t="n">
        <x:f>IF(MONTH(DATE(Milestones!$C$6,3,1)-WEEKDAY(DATE(Milestones!$C$6,3,1),2)+1+21)=3,DATE(Milestones!$C$6,3,1)-WEEKDAY(DATE(Milestones!$C$6,3,1),2)+1+21,"")</x:f>
        <x:v>46468</x:v>
      </x:c>
      <x:c r="S12" s="34" t="n">
        <x:f>IF(MONTH(DATE(Milestones!$C$6,3,1)-WEEKDAY(DATE(Milestones!$C$6,3,1),2)+1+22)=3,DATE(Milestones!$C$6,3,1)-WEEKDAY(DATE(Milestones!$C$6,3,1),2)+1+22,"")</x:f>
        <x:v>46469</x:v>
      </x:c>
      <x:c r="T12" s="34" t="n">
        <x:f>IF(MONTH(DATE(Milestones!$C$6,3,1)-WEEKDAY(DATE(Milestones!$C$6,3,1),2)+1+23)=3,DATE(Milestones!$C$6,3,1)-WEEKDAY(DATE(Milestones!$C$6,3,1),2)+1+23,"")</x:f>
        <x:v>46470</x:v>
      </x:c>
      <x:c r="U12" s="34" t="n">
        <x:f>IF(MONTH(DATE(Milestones!$C$6,3,1)-WEEKDAY(DATE(Milestones!$C$6,3,1),2)+1+24)=3,DATE(Milestones!$C$6,3,1)-WEEKDAY(DATE(Milestones!$C$6,3,1),2)+1+24,"")</x:f>
        <x:v>46471</x:v>
      </x:c>
      <x:c r="V12" s="34" t="n">
        <x:f>IF(MONTH(DATE(Milestones!$C$6,3,1)-WEEKDAY(DATE(Milestones!$C$6,3,1),2)+1+25)=3,DATE(Milestones!$C$6,3,1)-WEEKDAY(DATE(Milestones!$C$6,3,1),2)+1+25,"")</x:f>
        <x:v>46472</x:v>
      </x:c>
      <x:c r="W12" s="34" t="n">
        <x:f>IF(MONTH(DATE(Milestones!$C$6,3,1)-WEEKDAY(DATE(Milestones!$C$6,3,1),2)+1+26)=3,DATE(Milestones!$C$6,3,1)-WEEKDAY(DATE(Milestones!$C$6,3,1),2)+1+26,"")</x:f>
        <x:v>46473</x:v>
      </x:c>
      <x:c r="X12" s="34" t="n">
        <x:f>IF(MONTH(DATE(Milestones!$C$6,3,1)-WEEKDAY(DATE(Milestones!$C$6,3,1),2)+1+27)=3,DATE(Milestones!$C$6,3,1)-WEEKDAY(DATE(Milestones!$C$6,3,1),2)+1+27,"")</x:f>
        <x:v>46474</x:v>
      </x:c>
    </x:row>
    <x:row r="13" ht="23" customHeight="1">
      <x:c r="A13" s="3"/>
      <x:c r="B13" s="34" t="n">
        <x:f>IF(MONTH(DATE(Milestones!$C$6,1,1)-WEEKDAY(DATE(Milestones!$C$6,1,1),2)+1+28)=1,DATE(Milestones!$C$6,1,1)-WEEKDAY(DATE(Milestones!$C$6,1,1),2)+1+28,"")</x:f>
        <x:v>46412</x:v>
      </x:c>
      <x:c r="C13" s="34" t="n">
        <x:f>IF(MONTH(DATE(Milestones!$C$6,1,1)-WEEKDAY(DATE(Milestones!$C$6,1,1),2)+1+29)=1,DATE(Milestones!$C$6,1,1)-WEEKDAY(DATE(Milestones!$C$6,1,1),2)+1+29,"")</x:f>
        <x:v>46413</x:v>
      </x:c>
      <x:c r="D13" s="34" t="n">
        <x:f>IF(MONTH(DATE(Milestones!$C$6,1,1)-WEEKDAY(DATE(Milestones!$C$6,1,1),2)+1+30)=1,DATE(Milestones!$C$6,1,1)-WEEKDAY(DATE(Milestones!$C$6,1,1),2)+1+30,"")</x:f>
        <x:v>46414</x:v>
      </x:c>
      <x:c r="E13" s="34" t="n">
        <x:f>IF(MONTH(DATE(Milestones!$C$6,1,1)-WEEKDAY(DATE(Milestones!$C$6,1,1),2)+1+31)=1,DATE(Milestones!$C$6,1,1)-WEEKDAY(DATE(Milestones!$C$6,1,1),2)+1+31,"")</x:f>
        <x:v>46415</x:v>
      </x:c>
      <x:c r="F13" s="34" t="n">
        <x:f>IF(MONTH(DATE(Milestones!$C$6,1,1)-WEEKDAY(DATE(Milestones!$C$6,1,1),2)+1+32)=1,DATE(Milestones!$C$6,1,1)-WEEKDAY(DATE(Milestones!$C$6,1,1),2)+1+32,"")</x:f>
        <x:v>46416</x:v>
      </x:c>
      <x:c r="G13" s="34" t="n">
        <x:f>IF(MONTH(DATE(Milestones!$C$6,1,1)-WEEKDAY(DATE(Milestones!$C$6,1,1),2)+1+33)=1,DATE(Milestones!$C$6,1,1)-WEEKDAY(DATE(Milestones!$C$6,1,1),2)+1+33,"")</x:f>
        <x:v>46417</x:v>
      </x:c>
      <x:c r="H13" s="34" t="n">
        <x:f>IF(MONTH(DATE(Milestones!$C$6,1,1)-WEEKDAY(DATE(Milestones!$C$6,1,1),2)+1+34)=1,DATE(Milestones!$C$6,1,1)-WEEKDAY(DATE(Milestones!$C$6,1,1),2)+1+34,"")</x:f>
        <x:v>46418</x:v>
      </x:c>
      <x:c r="I13" s="3"/>
      <x:c r="J13" s="34" t="str">
        <x:f>IF(MONTH(DATE(Milestones!$C$6,2,1)-WEEKDAY(DATE(Milestones!$C$6,2,1),2)+1+28)=2,DATE(Milestones!$C$6,2,1)-WEEKDAY(DATE(Milestones!$C$6,2,1),2)+1+28,"")</x:f>
      </x:c>
      <x:c r="K13" s="34" t="str">
        <x:f>IF(MONTH(DATE(Milestones!$C$6,2,1)-WEEKDAY(DATE(Milestones!$C$6,2,1),2)+1+29)=2,DATE(Milestones!$C$6,2,1)-WEEKDAY(DATE(Milestones!$C$6,2,1),2)+1+29,"")</x:f>
      </x:c>
      <x:c r="L13" s="34" t="str">
        <x:f>IF(MONTH(DATE(Milestones!$C$6,2,1)-WEEKDAY(DATE(Milestones!$C$6,2,1),2)+1+30)=2,DATE(Milestones!$C$6,2,1)-WEEKDAY(DATE(Milestones!$C$6,2,1),2)+1+30,"")</x:f>
      </x:c>
      <x:c r="M13" s="34" t="str">
        <x:f>IF(MONTH(DATE(Milestones!$C$6,2,1)-WEEKDAY(DATE(Milestones!$C$6,2,1),2)+1+31)=2,DATE(Milestones!$C$6,2,1)-WEEKDAY(DATE(Milestones!$C$6,2,1),2)+1+31,"")</x:f>
      </x:c>
      <x:c r="N13" s="34" t="str">
        <x:f>IF(MONTH(DATE(Milestones!$C$6,2,1)-WEEKDAY(DATE(Milestones!$C$6,2,1),2)+1+32)=2,DATE(Milestones!$C$6,2,1)-WEEKDAY(DATE(Milestones!$C$6,2,1),2)+1+32,"")</x:f>
      </x:c>
      <x:c r="O13" s="34" t="str">
        <x:f>IF(MONTH(DATE(Milestones!$C$6,2,1)-WEEKDAY(DATE(Milestones!$C$6,2,1),2)+1+33)=2,DATE(Milestones!$C$6,2,1)-WEEKDAY(DATE(Milestones!$C$6,2,1),2)+1+33,"")</x:f>
      </x:c>
      <x:c r="P13" s="34" t="str">
        <x:f>IF(MONTH(DATE(Milestones!$C$6,2,1)-WEEKDAY(DATE(Milestones!$C$6,2,1),2)+1+34)=2,DATE(Milestones!$C$6,2,1)-WEEKDAY(DATE(Milestones!$C$6,2,1),2)+1+34,"")</x:f>
      </x:c>
      <x:c r="Q13" s="3"/>
      <x:c r="R13" s="34" t="n">
        <x:f>IF(MONTH(DATE(Milestones!$C$6,3,1)-WEEKDAY(DATE(Milestones!$C$6,3,1),2)+1+28)=3,DATE(Milestones!$C$6,3,1)-WEEKDAY(DATE(Milestones!$C$6,3,1),2)+1+28,"")</x:f>
        <x:v>46475</x:v>
      </x:c>
      <x:c r="S13" s="34" t="n">
        <x:f>IF(MONTH(DATE(Milestones!$C$6,3,1)-WEEKDAY(DATE(Milestones!$C$6,3,1),2)+1+29)=3,DATE(Milestones!$C$6,3,1)-WEEKDAY(DATE(Milestones!$C$6,3,1),2)+1+29,"")</x:f>
        <x:v>46476</x:v>
      </x:c>
      <x:c r="T13" s="34" t="n">
        <x:f>IF(MONTH(DATE(Milestones!$C$6,3,1)-WEEKDAY(DATE(Milestones!$C$6,3,1),2)+1+30)=3,DATE(Milestones!$C$6,3,1)-WEEKDAY(DATE(Milestones!$C$6,3,1),2)+1+30,"")</x:f>
        <x:v>46477</x:v>
      </x:c>
      <x:c r="U13" s="34" t="str">
        <x:f>IF(MONTH(DATE(Milestones!$C$6,3,1)-WEEKDAY(DATE(Milestones!$C$6,3,1),2)+1+31)=3,DATE(Milestones!$C$6,3,1)-WEEKDAY(DATE(Milestones!$C$6,3,1),2)+1+31,"")</x:f>
      </x:c>
      <x:c r="V13" s="34" t="str">
        <x:f>IF(MONTH(DATE(Milestones!$C$6,3,1)-WEEKDAY(DATE(Milestones!$C$6,3,1),2)+1+32)=3,DATE(Milestones!$C$6,3,1)-WEEKDAY(DATE(Milestones!$C$6,3,1),2)+1+32,"")</x:f>
      </x:c>
      <x:c r="W13" s="34" t="str">
        <x:f>IF(MONTH(DATE(Milestones!$C$6,3,1)-WEEKDAY(DATE(Milestones!$C$6,3,1),2)+1+33)=3,DATE(Milestones!$C$6,3,1)-WEEKDAY(DATE(Milestones!$C$6,3,1),2)+1+33,"")</x:f>
      </x:c>
      <x:c r="X13" s="34" t="str">
        <x:f>IF(MONTH(DATE(Milestones!$C$6,3,1)-WEEKDAY(DATE(Milestones!$C$6,3,1),2)+1+34)=3,DATE(Milestones!$C$6,3,1)-WEEKDAY(DATE(Milestones!$C$6,3,1),2)+1+34,"")</x:f>
      </x:c>
    </x:row>
    <x:row r="14" ht="23" customHeight="1">
      <x:c r="A14" s="3"/>
      <x:c r="B14" s="34" t="str">
        <x:f>IF(MONTH(DATE(Milestones!$C$6,1,1)-WEEKDAY(DATE(Milestones!$C$6,1,1),2)+1+35)=1,DATE(Milestones!$C$6,1,1)-WEEKDAY(DATE(Milestones!$C$6,1,1),2)+1+35,"")</x:f>
      </x:c>
      <x:c r="C14" s="34" t="str">
        <x:f>IF(MONTH(DATE(Milestones!$C$6,1,1)-WEEKDAY(DATE(Milestones!$C$6,1,1),2)+1+36)=1,DATE(Milestones!$C$6,1,1)-WEEKDAY(DATE(Milestones!$C$6,1,1),2)+1+36,"")</x:f>
      </x:c>
      <x:c r="D14" s="34" t="str">
        <x:f>IF(MONTH(DATE(Milestones!$C$6,1,1)-WEEKDAY(DATE(Milestones!$C$6,1,1),2)+1+37)=1,DATE(Milestones!$C$6,1,1)-WEEKDAY(DATE(Milestones!$C$6,1,1),2)+1+37,"")</x:f>
      </x:c>
      <x:c r="E14" s="34" t="str">
        <x:f>IF(MONTH(DATE(Milestones!$C$6,1,1)-WEEKDAY(DATE(Milestones!$C$6,1,1),2)+1+38)=1,DATE(Milestones!$C$6,1,1)-WEEKDAY(DATE(Milestones!$C$6,1,1),2)+1+38,"")</x:f>
      </x:c>
      <x:c r="F14" s="34" t="str">
        <x:f>IF(MONTH(DATE(Milestones!$C$6,1,1)-WEEKDAY(DATE(Milestones!$C$6,1,1),2)+1+39)=1,DATE(Milestones!$C$6,1,1)-WEEKDAY(DATE(Milestones!$C$6,1,1),2)+1+39,"")</x:f>
      </x:c>
      <x:c r="G14" s="34" t="str">
        <x:f>IF(MONTH(DATE(Milestones!$C$6,1,1)-WEEKDAY(DATE(Milestones!$C$6,1,1),2)+1+40)=1,DATE(Milestones!$C$6,1,1)-WEEKDAY(DATE(Milestones!$C$6,1,1),2)+1+40,"")</x:f>
      </x:c>
      <x:c r="H14" s="34" t="str">
        <x:f>IF(MONTH(DATE(Milestones!$C$6,1,1)-WEEKDAY(DATE(Milestones!$C$6,1,1),2)+1+41)=1,DATE(Milestones!$C$6,1,1)-WEEKDAY(DATE(Milestones!$C$6,1,1),2)+1+41,"")</x:f>
      </x:c>
      <x:c r="I14" s="3"/>
      <x:c r="J14" s="34" t="str">
        <x:f>IF(MONTH(DATE(Milestones!$C$6,2,1)-WEEKDAY(DATE(Milestones!$C$6,2,1),2)+1+35)=2,DATE(Milestones!$C$6,2,1)-WEEKDAY(DATE(Milestones!$C$6,2,1),2)+1+35,"")</x:f>
      </x:c>
      <x:c r="K14" s="34" t="str">
        <x:f>IF(MONTH(DATE(Milestones!$C$6,2,1)-WEEKDAY(DATE(Milestones!$C$6,2,1),2)+1+36)=2,DATE(Milestones!$C$6,2,1)-WEEKDAY(DATE(Milestones!$C$6,2,1),2)+1+36,"")</x:f>
      </x:c>
      <x:c r="L14" s="34" t="str">
        <x:f>IF(MONTH(DATE(Milestones!$C$6,2,1)-WEEKDAY(DATE(Milestones!$C$6,2,1),2)+1+37)=2,DATE(Milestones!$C$6,2,1)-WEEKDAY(DATE(Milestones!$C$6,2,1),2)+1+37,"")</x:f>
      </x:c>
      <x:c r="M14" s="34" t="str">
        <x:f>IF(MONTH(DATE(Milestones!$C$6,2,1)-WEEKDAY(DATE(Milestones!$C$6,2,1),2)+1+38)=2,DATE(Milestones!$C$6,2,1)-WEEKDAY(DATE(Milestones!$C$6,2,1),2)+1+38,"")</x:f>
      </x:c>
      <x:c r="N14" s="34" t="str">
        <x:f>IF(MONTH(DATE(Milestones!$C$6,2,1)-WEEKDAY(DATE(Milestones!$C$6,2,1),2)+1+39)=2,DATE(Milestones!$C$6,2,1)-WEEKDAY(DATE(Milestones!$C$6,2,1),2)+1+39,"")</x:f>
      </x:c>
      <x:c r="O14" s="34" t="str">
        <x:f>IF(MONTH(DATE(Milestones!$C$6,2,1)-WEEKDAY(DATE(Milestones!$C$6,2,1),2)+1+40)=2,DATE(Milestones!$C$6,2,1)-WEEKDAY(DATE(Milestones!$C$6,2,1),2)+1+40,"")</x:f>
      </x:c>
      <x:c r="P14" s="34" t="str">
        <x:f>IF(MONTH(DATE(Milestones!$C$6,2,1)-WEEKDAY(DATE(Milestones!$C$6,2,1),2)+1+41)=2,DATE(Milestones!$C$6,2,1)-WEEKDAY(DATE(Milestones!$C$6,2,1),2)+1+41,"")</x:f>
      </x:c>
      <x:c r="Q14" s="3"/>
      <x:c r="R14" s="34" t="str">
        <x:f>IF(MONTH(DATE(Milestones!$C$6,3,1)-WEEKDAY(DATE(Milestones!$C$6,3,1),2)+1+35)=3,DATE(Milestones!$C$6,3,1)-WEEKDAY(DATE(Milestones!$C$6,3,1),2)+1+35,"")</x:f>
      </x:c>
      <x:c r="S14" s="34" t="str">
        <x:f>IF(MONTH(DATE(Milestones!$C$6,3,1)-WEEKDAY(DATE(Milestones!$C$6,3,1),2)+1+36)=3,DATE(Milestones!$C$6,3,1)-WEEKDAY(DATE(Milestones!$C$6,3,1),2)+1+36,"")</x:f>
      </x:c>
      <x:c r="T14" s="34" t="str">
        <x:f>IF(MONTH(DATE(Milestones!$C$6,3,1)-WEEKDAY(DATE(Milestones!$C$6,3,1),2)+1+37)=3,DATE(Milestones!$C$6,3,1)-WEEKDAY(DATE(Milestones!$C$6,3,1),2)+1+37,"")</x:f>
      </x:c>
      <x:c r="U14" s="34" t="str">
        <x:f>IF(MONTH(DATE(Milestones!$C$6,3,1)-WEEKDAY(DATE(Milestones!$C$6,3,1),2)+1+38)=3,DATE(Milestones!$C$6,3,1)-WEEKDAY(DATE(Milestones!$C$6,3,1),2)+1+38,"")</x:f>
      </x:c>
      <x:c r="V14" s="34" t="str">
        <x:f>IF(MONTH(DATE(Milestones!$C$6,3,1)-WEEKDAY(DATE(Milestones!$C$6,3,1),2)+1+39)=3,DATE(Milestones!$C$6,3,1)-WEEKDAY(DATE(Milestones!$C$6,3,1),2)+1+39,"")</x:f>
      </x:c>
      <x:c r="W14" s="34" t="str">
        <x:f>IF(MONTH(DATE(Milestones!$C$6,3,1)-WEEKDAY(DATE(Milestones!$C$6,3,1),2)+1+40)=3,DATE(Milestones!$C$6,3,1)-WEEKDAY(DATE(Milestones!$C$6,3,1),2)+1+40,"")</x:f>
      </x:c>
      <x:c r="X14" s="34" t="str">
        <x:f>IF(MONTH(DATE(Milestones!$C$6,3,1)-WEEKDAY(DATE(Milestones!$C$6,3,1),2)+1+41)=3,DATE(Milestones!$C$6,3,1)-WEEKDAY(DATE(Milestones!$C$6,3,1),2)+1+41,"")</x:f>
      </x:c>
    </x:row>
    <x:row r="15" ht="23" customHeight="1">
      <x:c r="A15" s="3"/>
      <x:c r="B15" s="11" t="str">
        <x:v>APRIL</x:v>
      </x:c>
      <x:c r="C15" s="11" t="str">
        <x:v>APRIL</x:v>
      </x:c>
      <x:c r="D15" s="11" t="str">
        <x:v>APRIL</x:v>
      </x:c>
      <x:c r="E15" s="11" t="str">
        <x:v>APRIL</x:v>
      </x:c>
      <x:c r="F15" s="11" t="str">
        <x:v>APRIL</x:v>
      </x:c>
      <x:c r="G15" s="11" t="str">
        <x:v>APRIL</x:v>
      </x:c>
      <x:c r="H15" s="11" t="str">
        <x:v>APRIL</x:v>
      </x:c>
      <x:c r="I15" s="3"/>
      <x:c r="J15" s="11" t="str">
        <x:v>MAY</x:v>
      </x:c>
      <x:c r="K15" s="11" t="str">
        <x:v>MAY</x:v>
      </x:c>
      <x:c r="L15" s="11" t="str">
        <x:v>MAY</x:v>
      </x:c>
      <x:c r="M15" s="11" t="str">
        <x:v>MAY</x:v>
      </x:c>
      <x:c r="N15" s="11" t="str">
        <x:v>MAY</x:v>
      </x:c>
      <x:c r="O15" s="11" t="str">
        <x:v>MAY</x:v>
      </x:c>
      <x:c r="P15" s="11" t="str">
        <x:v>MAY</x:v>
      </x:c>
      <x:c r="Q15" s="3"/>
      <x:c r="R15" s="11" t="str">
        <x:v>JUNE</x:v>
      </x:c>
      <x:c r="S15" s="11" t="str">
        <x:v>JUNE</x:v>
      </x:c>
      <x:c r="T15" s="11" t="str">
        <x:v>JUNE</x:v>
      </x:c>
      <x:c r="U15" s="11" t="str">
        <x:v>JUNE</x:v>
      </x:c>
      <x:c r="V15" s="11" t="str">
        <x:v>JUNE</x:v>
      </x:c>
      <x:c r="W15" s="11" t="str">
        <x:v>JUNE</x:v>
      </x:c>
      <x:c r="X15" s="11" t="str">
        <x:v>JUNE</x:v>
      </x:c>
    </x:row>
    <x:row r="16" ht="23" customHeight="1">
      <x:c r="A16" s="3"/>
      <x:c r="B16" s="3" t="str">
        <x:v>M</x:v>
      </x:c>
      <x:c r="C16" s="3" t="str">
        <x:v>T</x:v>
      </x:c>
      <x:c r="D16" s="3" t="str">
        <x:v>W</x:v>
      </x:c>
      <x:c r="E16" s="3" t="str">
        <x:v>T</x:v>
      </x:c>
      <x:c r="F16" s="3" t="str">
        <x:v>F</x:v>
      </x:c>
      <x:c r="G16" s="3" t="str">
        <x:v>S</x:v>
      </x:c>
      <x:c r="H16" s="3" t="str">
        <x:v>S</x:v>
      </x:c>
      <x:c r="I16" s="3"/>
      <x:c r="J16" s="3" t="str">
        <x:v>M</x:v>
      </x:c>
      <x:c r="K16" s="3" t="str">
        <x:v>T</x:v>
      </x:c>
      <x:c r="L16" s="3" t="str">
        <x:v>W</x:v>
      </x:c>
      <x:c r="M16" s="3" t="str">
        <x:v>T</x:v>
      </x:c>
      <x:c r="N16" s="3" t="str">
        <x:v>F</x:v>
      </x:c>
      <x:c r="O16" s="3" t="str">
        <x:v>S</x:v>
      </x:c>
      <x:c r="P16" s="3" t="str">
        <x:v>S</x:v>
      </x:c>
      <x:c r="Q16" s="3"/>
      <x:c r="R16" s="3" t="str">
        <x:v>M</x:v>
      </x:c>
      <x:c r="S16" s="3" t="str">
        <x:v>T</x:v>
      </x:c>
      <x:c r="T16" s="3" t="str">
        <x:v>W</x:v>
      </x:c>
      <x:c r="U16" s="3" t="str">
        <x:v>T</x:v>
      </x:c>
      <x:c r="V16" s="3" t="str">
        <x:v>F</x:v>
      </x:c>
      <x:c r="W16" s="3" t="str">
        <x:v>S</x:v>
      </x:c>
      <x:c r="X16" s="3" t="str">
        <x:v>S</x:v>
      </x:c>
    </x:row>
    <x:row r="17" ht="23" customHeight="1">
      <x:c r="A17" s="3"/>
      <x:c r="B17" s="34" t="str">
        <x:f>IF(MONTH(DATE(Milestones!$C$6,4,1)-WEEKDAY(DATE(Milestones!$C$6,4,1),2)+1+0)=4,DATE(Milestones!$C$6,4,1)-WEEKDAY(DATE(Milestones!$C$6,4,1),2)+1+0,"")</x:f>
      </x:c>
      <x:c r="C17" s="34" t="str">
        <x:f>IF(MONTH(DATE(Milestones!$C$6,4,1)-WEEKDAY(DATE(Milestones!$C$6,4,1),2)+1+1)=4,DATE(Milestones!$C$6,4,1)-WEEKDAY(DATE(Milestones!$C$6,4,1),2)+1+1,"")</x:f>
      </x:c>
      <x:c r="D17" s="34" t="str">
        <x:f>IF(MONTH(DATE(Milestones!$C$6,4,1)-WEEKDAY(DATE(Milestones!$C$6,4,1),2)+1+2)=4,DATE(Milestones!$C$6,4,1)-WEEKDAY(DATE(Milestones!$C$6,4,1),2)+1+2,"")</x:f>
      </x:c>
      <x:c r="E17" s="34" t="n">
        <x:f>IF(MONTH(DATE(Milestones!$C$6,4,1)-WEEKDAY(DATE(Milestones!$C$6,4,1),2)+1+3)=4,DATE(Milestones!$C$6,4,1)-WEEKDAY(DATE(Milestones!$C$6,4,1),2)+1+3,"")</x:f>
        <x:v>46478</x:v>
      </x:c>
      <x:c r="F17" s="34" t="n">
        <x:f>IF(MONTH(DATE(Milestones!$C$6,4,1)-WEEKDAY(DATE(Milestones!$C$6,4,1),2)+1+4)=4,DATE(Milestones!$C$6,4,1)-WEEKDAY(DATE(Milestones!$C$6,4,1),2)+1+4,"")</x:f>
        <x:v>46479</x:v>
      </x:c>
      <x:c r="G17" s="34" t="n">
        <x:f>IF(MONTH(DATE(Milestones!$C$6,4,1)-WEEKDAY(DATE(Milestones!$C$6,4,1),2)+1+5)=4,DATE(Milestones!$C$6,4,1)-WEEKDAY(DATE(Milestones!$C$6,4,1),2)+1+5,"")</x:f>
        <x:v>46480</x:v>
      </x:c>
      <x:c r="H17" s="34" t="n">
        <x:f>IF(MONTH(DATE(Milestones!$C$6,4,1)-WEEKDAY(DATE(Milestones!$C$6,4,1),2)+1+6)=4,DATE(Milestones!$C$6,4,1)-WEEKDAY(DATE(Milestones!$C$6,4,1),2)+1+6,"")</x:f>
        <x:v>46481</x:v>
      </x:c>
      <x:c r="I17" s="3"/>
      <x:c r="J17" s="34" t="str">
        <x:f>IF(MONTH(DATE(Milestones!$C$6,5,1)-WEEKDAY(DATE(Milestones!$C$6,5,1),2)+1+0)=5,DATE(Milestones!$C$6,5,1)-WEEKDAY(DATE(Milestones!$C$6,5,1),2)+1+0,"")</x:f>
      </x:c>
      <x:c r="K17" s="34" t="str">
        <x:f>IF(MONTH(DATE(Milestones!$C$6,5,1)-WEEKDAY(DATE(Milestones!$C$6,5,1),2)+1+1)=5,DATE(Milestones!$C$6,5,1)-WEEKDAY(DATE(Milestones!$C$6,5,1),2)+1+1,"")</x:f>
      </x:c>
      <x:c r="L17" s="34" t="str">
        <x:f>IF(MONTH(DATE(Milestones!$C$6,5,1)-WEEKDAY(DATE(Milestones!$C$6,5,1),2)+1+2)=5,DATE(Milestones!$C$6,5,1)-WEEKDAY(DATE(Milestones!$C$6,5,1),2)+1+2,"")</x:f>
      </x:c>
      <x:c r="M17" s="34" t="str">
        <x:f>IF(MONTH(DATE(Milestones!$C$6,5,1)-WEEKDAY(DATE(Milestones!$C$6,5,1),2)+1+3)=5,DATE(Milestones!$C$6,5,1)-WEEKDAY(DATE(Milestones!$C$6,5,1),2)+1+3,"")</x:f>
      </x:c>
      <x:c r="N17" s="34" t="str">
        <x:f>IF(MONTH(DATE(Milestones!$C$6,5,1)-WEEKDAY(DATE(Milestones!$C$6,5,1),2)+1+4)=5,DATE(Milestones!$C$6,5,1)-WEEKDAY(DATE(Milestones!$C$6,5,1),2)+1+4,"")</x:f>
      </x:c>
      <x:c r="O17" s="34" t="n">
        <x:f>IF(MONTH(DATE(Milestones!$C$6,5,1)-WEEKDAY(DATE(Milestones!$C$6,5,1),2)+1+5)=5,DATE(Milestones!$C$6,5,1)-WEEKDAY(DATE(Milestones!$C$6,5,1),2)+1+5,"")</x:f>
        <x:v>46508</x:v>
      </x:c>
      <x:c r="P17" s="34" t="n">
        <x:f>IF(MONTH(DATE(Milestones!$C$6,5,1)-WEEKDAY(DATE(Milestones!$C$6,5,1),2)+1+6)=5,DATE(Milestones!$C$6,5,1)-WEEKDAY(DATE(Milestones!$C$6,5,1),2)+1+6,"")</x:f>
        <x:v>46509</x:v>
      </x:c>
      <x:c r="Q17" s="3"/>
      <x:c r="R17" s="34" t="str">
        <x:f>IF(MONTH(DATE(Milestones!$C$6,6,1)-WEEKDAY(DATE(Milestones!$C$6,6,1),2)+1+0)=6,DATE(Milestones!$C$6,6,1)-WEEKDAY(DATE(Milestones!$C$6,6,1),2)+1+0,"")</x:f>
      </x:c>
      <x:c r="S17" s="34" t="n">
        <x:f>IF(MONTH(DATE(Milestones!$C$6,6,1)-WEEKDAY(DATE(Milestones!$C$6,6,1),2)+1+1)=6,DATE(Milestones!$C$6,6,1)-WEEKDAY(DATE(Milestones!$C$6,6,1),2)+1+1,"")</x:f>
        <x:v>46539</x:v>
      </x:c>
      <x:c r="T17" s="34" t="n">
        <x:f>IF(MONTH(DATE(Milestones!$C$6,6,1)-WEEKDAY(DATE(Milestones!$C$6,6,1),2)+1+2)=6,DATE(Milestones!$C$6,6,1)-WEEKDAY(DATE(Milestones!$C$6,6,1),2)+1+2,"")</x:f>
        <x:v>46540</x:v>
      </x:c>
      <x:c r="U17" s="34" t="n">
        <x:f>IF(MONTH(DATE(Milestones!$C$6,6,1)-WEEKDAY(DATE(Milestones!$C$6,6,1),2)+1+3)=6,DATE(Milestones!$C$6,6,1)-WEEKDAY(DATE(Milestones!$C$6,6,1),2)+1+3,"")</x:f>
        <x:v>46541</x:v>
      </x:c>
      <x:c r="V17" s="34" t="n">
        <x:f>IF(MONTH(DATE(Milestones!$C$6,6,1)-WEEKDAY(DATE(Milestones!$C$6,6,1),2)+1+4)=6,DATE(Milestones!$C$6,6,1)-WEEKDAY(DATE(Milestones!$C$6,6,1),2)+1+4,"")</x:f>
        <x:v>46542</x:v>
      </x:c>
      <x:c r="W17" s="34" t="n">
        <x:f>IF(MONTH(DATE(Milestones!$C$6,6,1)-WEEKDAY(DATE(Milestones!$C$6,6,1),2)+1+5)=6,DATE(Milestones!$C$6,6,1)-WEEKDAY(DATE(Milestones!$C$6,6,1),2)+1+5,"")</x:f>
        <x:v>46543</x:v>
      </x:c>
      <x:c r="X17" s="34" t="n">
        <x:f>IF(MONTH(DATE(Milestones!$C$6,6,1)-WEEKDAY(DATE(Milestones!$C$6,6,1),2)+1+6)=6,DATE(Milestones!$C$6,6,1)-WEEKDAY(DATE(Milestones!$C$6,6,1),2)+1+6,"")</x:f>
        <x:v>46544</x:v>
      </x:c>
    </x:row>
    <x:row r="18" ht="23" customHeight="1">
      <x:c r="A18" s="3"/>
      <x:c r="B18" s="34" t="n">
        <x:f>IF(MONTH(DATE(Milestones!$C$6,4,1)-WEEKDAY(DATE(Milestones!$C$6,4,1),2)+1+7)=4,DATE(Milestones!$C$6,4,1)-WEEKDAY(DATE(Milestones!$C$6,4,1),2)+1+7,"")</x:f>
        <x:v>46482</x:v>
      </x:c>
      <x:c r="C18" s="34" t="n">
        <x:f>IF(MONTH(DATE(Milestones!$C$6,4,1)-WEEKDAY(DATE(Milestones!$C$6,4,1),2)+1+8)=4,DATE(Milestones!$C$6,4,1)-WEEKDAY(DATE(Milestones!$C$6,4,1),2)+1+8,"")</x:f>
        <x:v>46483</x:v>
      </x:c>
      <x:c r="D18" s="34" t="n">
        <x:f>IF(MONTH(DATE(Milestones!$C$6,4,1)-WEEKDAY(DATE(Milestones!$C$6,4,1),2)+1+9)=4,DATE(Milestones!$C$6,4,1)-WEEKDAY(DATE(Milestones!$C$6,4,1),2)+1+9,"")</x:f>
        <x:v>46484</x:v>
      </x:c>
      <x:c r="E18" s="34" t="n">
        <x:f>IF(MONTH(DATE(Milestones!$C$6,4,1)-WEEKDAY(DATE(Milestones!$C$6,4,1),2)+1+10)=4,DATE(Milestones!$C$6,4,1)-WEEKDAY(DATE(Milestones!$C$6,4,1),2)+1+10,"")</x:f>
        <x:v>46485</x:v>
      </x:c>
      <x:c r="F18" s="34" t="n">
        <x:f>IF(MONTH(DATE(Milestones!$C$6,4,1)-WEEKDAY(DATE(Milestones!$C$6,4,1),2)+1+11)=4,DATE(Milestones!$C$6,4,1)-WEEKDAY(DATE(Milestones!$C$6,4,1),2)+1+11,"")</x:f>
        <x:v>46486</x:v>
      </x:c>
      <x:c r="G18" s="34" t="n">
        <x:f>IF(MONTH(DATE(Milestones!$C$6,4,1)-WEEKDAY(DATE(Milestones!$C$6,4,1),2)+1+12)=4,DATE(Milestones!$C$6,4,1)-WEEKDAY(DATE(Milestones!$C$6,4,1),2)+1+12,"")</x:f>
        <x:v>46487</x:v>
      </x:c>
      <x:c r="H18" s="34" t="n">
        <x:f>IF(MONTH(DATE(Milestones!$C$6,4,1)-WEEKDAY(DATE(Milestones!$C$6,4,1),2)+1+13)=4,DATE(Milestones!$C$6,4,1)-WEEKDAY(DATE(Milestones!$C$6,4,1),2)+1+13,"")</x:f>
        <x:v>46488</x:v>
      </x:c>
      <x:c r="I18" s="3"/>
      <x:c r="J18" s="34" t="n">
        <x:f>IF(MONTH(DATE(Milestones!$C$6,5,1)-WEEKDAY(DATE(Milestones!$C$6,5,1),2)+1+7)=5,DATE(Milestones!$C$6,5,1)-WEEKDAY(DATE(Milestones!$C$6,5,1),2)+1+7,"")</x:f>
        <x:v>46510</x:v>
      </x:c>
      <x:c r="K18" s="34" t="n">
        <x:f>IF(MONTH(DATE(Milestones!$C$6,5,1)-WEEKDAY(DATE(Milestones!$C$6,5,1),2)+1+8)=5,DATE(Milestones!$C$6,5,1)-WEEKDAY(DATE(Milestones!$C$6,5,1),2)+1+8,"")</x:f>
        <x:v>46511</x:v>
      </x:c>
      <x:c r="L18" s="34" t="n">
        <x:f>IF(MONTH(DATE(Milestones!$C$6,5,1)-WEEKDAY(DATE(Milestones!$C$6,5,1),2)+1+9)=5,DATE(Milestones!$C$6,5,1)-WEEKDAY(DATE(Milestones!$C$6,5,1),2)+1+9,"")</x:f>
        <x:v>46512</x:v>
      </x:c>
      <x:c r="M18" s="34" t="n">
        <x:f>IF(MONTH(DATE(Milestones!$C$6,5,1)-WEEKDAY(DATE(Milestones!$C$6,5,1),2)+1+10)=5,DATE(Milestones!$C$6,5,1)-WEEKDAY(DATE(Milestones!$C$6,5,1),2)+1+10,"")</x:f>
        <x:v>46513</x:v>
      </x:c>
      <x:c r="N18" s="34" t="n">
        <x:f>IF(MONTH(DATE(Milestones!$C$6,5,1)-WEEKDAY(DATE(Milestones!$C$6,5,1),2)+1+11)=5,DATE(Milestones!$C$6,5,1)-WEEKDAY(DATE(Milestones!$C$6,5,1),2)+1+11,"")</x:f>
        <x:v>46514</x:v>
      </x:c>
      <x:c r="O18" s="34" t="n">
        <x:f>IF(MONTH(DATE(Milestones!$C$6,5,1)-WEEKDAY(DATE(Milestones!$C$6,5,1),2)+1+12)=5,DATE(Milestones!$C$6,5,1)-WEEKDAY(DATE(Milestones!$C$6,5,1),2)+1+12,"")</x:f>
        <x:v>46515</x:v>
      </x:c>
      <x:c r="P18" s="34" t="n">
        <x:f>IF(MONTH(DATE(Milestones!$C$6,5,1)-WEEKDAY(DATE(Milestones!$C$6,5,1),2)+1+13)=5,DATE(Milestones!$C$6,5,1)-WEEKDAY(DATE(Milestones!$C$6,5,1),2)+1+13,"")</x:f>
        <x:v>46516</x:v>
      </x:c>
      <x:c r="Q18" s="3"/>
      <x:c r="R18" s="34" t="n">
        <x:f>IF(MONTH(DATE(Milestones!$C$6,6,1)-WEEKDAY(DATE(Milestones!$C$6,6,1),2)+1+7)=6,DATE(Milestones!$C$6,6,1)-WEEKDAY(DATE(Milestones!$C$6,6,1),2)+1+7,"")</x:f>
        <x:v>46545</x:v>
      </x:c>
      <x:c r="S18" s="34" t="n">
        <x:f>IF(MONTH(DATE(Milestones!$C$6,6,1)-WEEKDAY(DATE(Milestones!$C$6,6,1),2)+1+8)=6,DATE(Milestones!$C$6,6,1)-WEEKDAY(DATE(Milestones!$C$6,6,1),2)+1+8,"")</x:f>
        <x:v>46546</x:v>
      </x:c>
      <x:c r="T18" s="34" t="n">
        <x:f>IF(MONTH(DATE(Milestones!$C$6,6,1)-WEEKDAY(DATE(Milestones!$C$6,6,1),2)+1+9)=6,DATE(Milestones!$C$6,6,1)-WEEKDAY(DATE(Milestones!$C$6,6,1),2)+1+9,"")</x:f>
        <x:v>46547</x:v>
      </x:c>
      <x:c r="U18" s="34" t="n">
        <x:f>IF(MONTH(DATE(Milestones!$C$6,6,1)-WEEKDAY(DATE(Milestones!$C$6,6,1),2)+1+10)=6,DATE(Milestones!$C$6,6,1)-WEEKDAY(DATE(Milestones!$C$6,6,1),2)+1+10,"")</x:f>
        <x:v>46548</x:v>
      </x:c>
      <x:c r="V18" s="34" t="n">
        <x:f>IF(MONTH(DATE(Milestones!$C$6,6,1)-WEEKDAY(DATE(Milestones!$C$6,6,1),2)+1+11)=6,DATE(Milestones!$C$6,6,1)-WEEKDAY(DATE(Milestones!$C$6,6,1),2)+1+11,"")</x:f>
        <x:v>46549</x:v>
      </x:c>
      <x:c r="W18" s="34" t="n">
        <x:f>IF(MONTH(DATE(Milestones!$C$6,6,1)-WEEKDAY(DATE(Milestones!$C$6,6,1),2)+1+12)=6,DATE(Milestones!$C$6,6,1)-WEEKDAY(DATE(Milestones!$C$6,6,1),2)+1+12,"")</x:f>
        <x:v>46550</x:v>
      </x:c>
      <x:c r="X18" s="34" t="n">
        <x:f>IF(MONTH(DATE(Milestones!$C$6,6,1)-WEEKDAY(DATE(Milestones!$C$6,6,1),2)+1+13)=6,DATE(Milestones!$C$6,6,1)-WEEKDAY(DATE(Milestones!$C$6,6,1),2)+1+13,"")</x:f>
        <x:v>46551</x:v>
      </x:c>
    </x:row>
    <x:row r="19" ht="23" customHeight="1">
      <x:c r="A19" s="3"/>
      <x:c r="B19" s="34" t="n">
        <x:f>IF(MONTH(DATE(Milestones!$C$6,4,1)-WEEKDAY(DATE(Milestones!$C$6,4,1),2)+1+14)=4,DATE(Milestones!$C$6,4,1)-WEEKDAY(DATE(Milestones!$C$6,4,1),2)+1+14,"")</x:f>
        <x:v>46489</x:v>
      </x:c>
      <x:c r="C19" s="34" t="n">
        <x:f>IF(MONTH(DATE(Milestones!$C$6,4,1)-WEEKDAY(DATE(Milestones!$C$6,4,1),2)+1+15)=4,DATE(Milestones!$C$6,4,1)-WEEKDAY(DATE(Milestones!$C$6,4,1),2)+1+15,"")</x:f>
        <x:v>46490</x:v>
      </x:c>
      <x:c r="D19" s="34" t="n">
        <x:f>IF(MONTH(DATE(Milestones!$C$6,4,1)-WEEKDAY(DATE(Milestones!$C$6,4,1),2)+1+16)=4,DATE(Milestones!$C$6,4,1)-WEEKDAY(DATE(Milestones!$C$6,4,1),2)+1+16,"")</x:f>
        <x:v>46491</x:v>
      </x:c>
      <x:c r="E19" s="34" t="n">
        <x:f>IF(MONTH(DATE(Milestones!$C$6,4,1)-WEEKDAY(DATE(Milestones!$C$6,4,1),2)+1+17)=4,DATE(Milestones!$C$6,4,1)-WEEKDAY(DATE(Milestones!$C$6,4,1),2)+1+17,"")</x:f>
        <x:v>46492</x:v>
      </x:c>
      <x:c r="F19" s="34" t="n">
        <x:f>IF(MONTH(DATE(Milestones!$C$6,4,1)-WEEKDAY(DATE(Milestones!$C$6,4,1),2)+1+18)=4,DATE(Milestones!$C$6,4,1)-WEEKDAY(DATE(Milestones!$C$6,4,1),2)+1+18,"")</x:f>
        <x:v>46493</x:v>
      </x:c>
      <x:c r="G19" s="34" t="n">
        <x:f>IF(MONTH(DATE(Milestones!$C$6,4,1)-WEEKDAY(DATE(Milestones!$C$6,4,1),2)+1+19)=4,DATE(Milestones!$C$6,4,1)-WEEKDAY(DATE(Milestones!$C$6,4,1),2)+1+19,"")</x:f>
        <x:v>46494</x:v>
      </x:c>
      <x:c r="H19" s="34" t="n">
        <x:f>IF(MONTH(DATE(Milestones!$C$6,4,1)-WEEKDAY(DATE(Milestones!$C$6,4,1),2)+1+20)=4,DATE(Milestones!$C$6,4,1)-WEEKDAY(DATE(Milestones!$C$6,4,1),2)+1+20,"")</x:f>
        <x:v>46495</x:v>
      </x:c>
      <x:c r="I19" s="3"/>
      <x:c r="J19" s="34" t="n">
        <x:f>IF(MONTH(DATE(Milestones!$C$6,5,1)-WEEKDAY(DATE(Milestones!$C$6,5,1),2)+1+14)=5,DATE(Milestones!$C$6,5,1)-WEEKDAY(DATE(Milestones!$C$6,5,1),2)+1+14,"")</x:f>
        <x:v>46517</x:v>
      </x:c>
      <x:c r="K19" s="34" t="n">
        <x:f>IF(MONTH(DATE(Milestones!$C$6,5,1)-WEEKDAY(DATE(Milestones!$C$6,5,1),2)+1+15)=5,DATE(Milestones!$C$6,5,1)-WEEKDAY(DATE(Milestones!$C$6,5,1),2)+1+15,"")</x:f>
        <x:v>46518</x:v>
      </x:c>
      <x:c r="L19" s="34" t="n">
        <x:f>IF(MONTH(DATE(Milestones!$C$6,5,1)-WEEKDAY(DATE(Milestones!$C$6,5,1),2)+1+16)=5,DATE(Milestones!$C$6,5,1)-WEEKDAY(DATE(Milestones!$C$6,5,1),2)+1+16,"")</x:f>
        <x:v>46519</x:v>
      </x:c>
      <x:c r="M19" s="34" t="n">
        <x:f>IF(MONTH(DATE(Milestones!$C$6,5,1)-WEEKDAY(DATE(Milestones!$C$6,5,1),2)+1+17)=5,DATE(Milestones!$C$6,5,1)-WEEKDAY(DATE(Milestones!$C$6,5,1),2)+1+17,"")</x:f>
        <x:v>46520</x:v>
      </x:c>
      <x:c r="N19" s="34" t="n">
        <x:f>IF(MONTH(DATE(Milestones!$C$6,5,1)-WEEKDAY(DATE(Milestones!$C$6,5,1),2)+1+18)=5,DATE(Milestones!$C$6,5,1)-WEEKDAY(DATE(Milestones!$C$6,5,1),2)+1+18,"")</x:f>
        <x:v>46521</x:v>
      </x:c>
      <x:c r="O19" s="34" t="n">
        <x:f>IF(MONTH(DATE(Milestones!$C$6,5,1)-WEEKDAY(DATE(Milestones!$C$6,5,1),2)+1+19)=5,DATE(Milestones!$C$6,5,1)-WEEKDAY(DATE(Milestones!$C$6,5,1),2)+1+19,"")</x:f>
        <x:v>46522</x:v>
      </x:c>
      <x:c r="P19" s="34" t="n">
        <x:f>IF(MONTH(DATE(Milestones!$C$6,5,1)-WEEKDAY(DATE(Milestones!$C$6,5,1),2)+1+20)=5,DATE(Milestones!$C$6,5,1)-WEEKDAY(DATE(Milestones!$C$6,5,1),2)+1+20,"")</x:f>
        <x:v>46523</x:v>
      </x:c>
      <x:c r="Q19" s="3"/>
      <x:c r="R19" s="34" t="n">
        <x:f>IF(MONTH(DATE(Milestones!$C$6,6,1)-WEEKDAY(DATE(Milestones!$C$6,6,1),2)+1+14)=6,DATE(Milestones!$C$6,6,1)-WEEKDAY(DATE(Milestones!$C$6,6,1),2)+1+14,"")</x:f>
        <x:v>46552</x:v>
      </x:c>
      <x:c r="S19" s="34" t="n">
        <x:f>IF(MONTH(DATE(Milestones!$C$6,6,1)-WEEKDAY(DATE(Milestones!$C$6,6,1),2)+1+15)=6,DATE(Milestones!$C$6,6,1)-WEEKDAY(DATE(Milestones!$C$6,6,1),2)+1+15,"")</x:f>
        <x:v>46553</x:v>
      </x:c>
      <x:c r="T19" s="34" t="n">
        <x:f>IF(MONTH(DATE(Milestones!$C$6,6,1)-WEEKDAY(DATE(Milestones!$C$6,6,1),2)+1+16)=6,DATE(Milestones!$C$6,6,1)-WEEKDAY(DATE(Milestones!$C$6,6,1),2)+1+16,"")</x:f>
        <x:v>46554</x:v>
      </x:c>
      <x:c r="U19" s="34" t="n">
        <x:f>IF(MONTH(DATE(Milestones!$C$6,6,1)-WEEKDAY(DATE(Milestones!$C$6,6,1),2)+1+17)=6,DATE(Milestones!$C$6,6,1)-WEEKDAY(DATE(Milestones!$C$6,6,1),2)+1+17,"")</x:f>
        <x:v>46555</x:v>
      </x:c>
      <x:c r="V19" s="34" t="n">
        <x:f>IF(MONTH(DATE(Milestones!$C$6,6,1)-WEEKDAY(DATE(Milestones!$C$6,6,1),2)+1+18)=6,DATE(Milestones!$C$6,6,1)-WEEKDAY(DATE(Milestones!$C$6,6,1),2)+1+18,"")</x:f>
        <x:v>46556</x:v>
      </x:c>
      <x:c r="W19" s="34" t="n">
        <x:f>IF(MONTH(DATE(Milestones!$C$6,6,1)-WEEKDAY(DATE(Milestones!$C$6,6,1),2)+1+19)=6,DATE(Milestones!$C$6,6,1)-WEEKDAY(DATE(Milestones!$C$6,6,1),2)+1+19,"")</x:f>
        <x:v>46557</x:v>
      </x:c>
      <x:c r="X19" s="34" t="n">
        <x:f>IF(MONTH(DATE(Milestones!$C$6,6,1)-WEEKDAY(DATE(Milestones!$C$6,6,1),2)+1+20)=6,DATE(Milestones!$C$6,6,1)-WEEKDAY(DATE(Milestones!$C$6,6,1),2)+1+20,"")</x:f>
        <x:v>46558</x:v>
      </x:c>
    </x:row>
    <x:row r="20" ht="23" customHeight="1">
      <x:c r="A20" s="3"/>
      <x:c r="B20" s="34" t="n">
        <x:f>IF(MONTH(DATE(Milestones!$C$6,4,1)-WEEKDAY(DATE(Milestones!$C$6,4,1),2)+1+21)=4,DATE(Milestones!$C$6,4,1)-WEEKDAY(DATE(Milestones!$C$6,4,1),2)+1+21,"")</x:f>
        <x:v>46496</x:v>
      </x:c>
      <x:c r="C20" s="34" t="n">
        <x:f>IF(MONTH(DATE(Milestones!$C$6,4,1)-WEEKDAY(DATE(Milestones!$C$6,4,1),2)+1+22)=4,DATE(Milestones!$C$6,4,1)-WEEKDAY(DATE(Milestones!$C$6,4,1),2)+1+22,"")</x:f>
        <x:v>46497</x:v>
      </x:c>
      <x:c r="D20" s="34" t="n">
        <x:f>IF(MONTH(DATE(Milestones!$C$6,4,1)-WEEKDAY(DATE(Milestones!$C$6,4,1),2)+1+23)=4,DATE(Milestones!$C$6,4,1)-WEEKDAY(DATE(Milestones!$C$6,4,1),2)+1+23,"")</x:f>
        <x:v>46498</x:v>
      </x:c>
      <x:c r="E20" s="34" t="n">
        <x:f>IF(MONTH(DATE(Milestones!$C$6,4,1)-WEEKDAY(DATE(Milestones!$C$6,4,1),2)+1+24)=4,DATE(Milestones!$C$6,4,1)-WEEKDAY(DATE(Milestones!$C$6,4,1),2)+1+24,"")</x:f>
        <x:v>46499</x:v>
      </x:c>
      <x:c r="F20" s="34" t="n">
        <x:f>IF(MONTH(DATE(Milestones!$C$6,4,1)-WEEKDAY(DATE(Milestones!$C$6,4,1),2)+1+25)=4,DATE(Milestones!$C$6,4,1)-WEEKDAY(DATE(Milestones!$C$6,4,1),2)+1+25,"")</x:f>
        <x:v>46500</x:v>
      </x:c>
      <x:c r="G20" s="34" t="n">
        <x:f>IF(MONTH(DATE(Milestones!$C$6,4,1)-WEEKDAY(DATE(Milestones!$C$6,4,1),2)+1+26)=4,DATE(Milestones!$C$6,4,1)-WEEKDAY(DATE(Milestones!$C$6,4,1),2)+1+26,"")</x:f>
        <x:v>46501</x:v>
      </x:c>
      <x:c r="H20" s="34" t="n">
        <x:f>IF(MONTH(DATE(Milestones!$C$6,4,1)-WEEKDAY(DATE(Milestones!$C$6,4,1),2)+1+27)=4,DATE(Milestones!$C$6,4,1)-WEEKDAY(DATE(Milestones!$C$6,4,1),2)+1+27,"")</x:f>
        <x:v>46502</x:v>
      </x:c>
      <x:c r="I20" s="3"/>
      <x:c r="J20" s="34" t="n">
        <x:f>IF(MONTH(DATE(Milestones!$C$6,5,1)-WEEKDAY(DATE(Milestones!$C$6,5,1),2)+1+21)=5,DATE(Milestones!$C$6,5,1)-WEEKDAY(DATE(Milestones!$C$6,5,1),2)+1+21,"")</x:f>
        <x:v>46524</x:v>
      </x:c>
      <x:c r="K20" s="34" t="n">
        <x:f>IF(MONTH(DATE(Milestones!$C$6,5,1)-WEEKDAY(DATE(Milestones!$C$6,5,1),2)+1+22)=5,DATE(Milestones!$C$6,5,1)-WEEKDAY(DATE(Milestones!$C$6,5,1),2)+1+22,"")</x:f>
        <x:v>46525</x:v>
      </x:c>
      <x:c r="L20" s="34" t="n">
        <x:f>IF(MONTH(DATE(Milestones!$C$6,5,1)-WEEKDAY(DATE(Milestones!$C$6,5,1),2)+1+23)=5,DATE(Milestones!$C$6,5,1)-WEEKDAY(DATE(Milestones!$C$6,5,1),2)+1+23,"")</x:f>
        <x:v>46526</x:v>
      </x:c>
      <x:c r="M20" s="34" t="n">
        <x:f>IF(MONTH(DATE(Milestones!$C$6,5,1)-WEEKDAY(DATE(Milestones!$C$6,5,1),2)+1+24)=5,DATE(Milestones!$C$6,5,1)-WEEKDAY(DATE(Milestones!$C$6,5,1),2)+1+24,"")</x:f>
        <x:v>46527</x:v>
      </x:c>
      <x:c r="N20" s="34" t="n">
        <x:f>IF(MONTH(DATE(Milestones!$C$6,5,1)-WEEKDAY(DATE(Milestones!$C$6,5,1),2)+1+25)=5,DATE(Milestones!$C$6,5,1)-WEEKDAY(DATE(Milestones!$C$6,5,1),2)+1+25,"")</x:f>
        <x:v>46528</x:v>
      </x:c>
      <x:c r="O20" s="34" t="n">
        <x:f>IF(MONTH(DATE(Milestones!$C$6,5,1)-WEEKDAY(DATE(Milestones!$C$6,5,1),2)+1+26)=5,DATE(Milestones!$C$6,5,1)-WEEKDAY(DATE(Milestones!$C$6,5,1),2)+1+26,"")</x:f>
        <x:v>46529</x:v>
      </x:c>
      <x:c r="P20" s="34" t="n">
        <x:f>IF(MONTH(DATE(Milestones!$C$6,5,1)-WEEKDAY(DATE(Milestones!$C$6,5,1),2)+1+27)=5,DATE(Milestones!$C$6,5,1)-WEEKDAY(DATE(Milestones!$C$6,5,1),2)+1+27,"")</x:f>
        <x:v>46530</x:v>
      </x:c>
      <x:c r="Q20" s="3"/>
      <x:c r="R20" s="34" t="n">
        <x:f>IF(MONTH(DATE(Milestones!$C$6,6,1)-WEEKDAY(DATE(Milestones!$C$6,6,1),2)+1+21)=6,DATE(Milestones!$C$6,6,1)-WEEKDAY(DATE(Milestones!$C$6,6,1),2)+1+21,"")</x:f>
        <x:v>46559</x:v>
      </x:c>
      <x:c r="S20" s="34" t="n">
        <x:f>IF(MONTH(DATE(Milestones!$C$6,6,1)-WEEKDAY(DATE(Milestones!$C$6,6,1),2)+1+22)=6,DATE(Milestones!$C$6,6,1)-WEEKDAY(DATE(Milestones!$C$6,6,1),2)+1+22,"")</x:f>
        <x:v>46560</x:v>
      </x:c>
      <x:c r="T20" s="34" t="n">
        <x:f>IF(MONTH(DATE(Milestones!$C$6,6,1)-WEEKDAY(DATE(Milestones!$C$6,6,1),2)+1+23)=6,DATE(Milestones!$C$6,6,1)-WEEKDAY(DATE(Milestones!$C$6,6,1),2)+1+23,"")</x:f>
        <x:v>46561</x:v>
      </x:c>
      <x:c r="U20" s="34" t="n">
        <x:f>IF(MONTH(DATE(Milestones!$C$6,6,1)-WEEKDAY(DATE(Milestones!$C$6,6,1),2)+1+24)=6,DATE(Milestones!$C$6,6,1)-WEEKDAY(DATE(Milestones!$C$6,6,1),2)+1+24,"")</x:f>
        <x:v>46562</x:v>
      </x:c>
      <x:c r="V20" s="34" t="n">
        <x:f>IF(MONTH(DATE(Milestones!$C$6,6,1)-WEEKDAY(DATE(Milestones!$C$6,6,1),2)+1+25)=6,DATE(Milestones!$C$6,6,1)-WEEKDAY(DATE(Milestones!$C$6,6,1),2)+1+25,"")</x:f>
        <x:v>46563</x:v>
      </x:c>
      <x:c r="W20" s="34" t="n">
        <x:f>IF(MONTH(DATE(Milestones!$C$6,6,1)-WEEKDAY(DATE(Milestones!$C$6,6,1),2)+1+26)=6,DATE(Milestones!$C$6,6,1)-WEEKDAY(DATE(Milestones!$C$6,6,1),2)+1+26,"")</x:f>
        <x:v>46564</x:v>
      </x:c>
      <x:c r="X20" s="34" t="n">
        <x:f>IF(MONTH(DATE(Milestones!$C$6,6,1)-WEEKDAY(DATE(Milestones!$C$6,6,1),2)+1+27)=6,DATE(Milestones!$C$6,6,1)-WEEKDAY(DATE(Milestones!$C$6,6,1),2)+1+27,"")</x:f>
        <x:v>46565</x:v>
      </x:c>
    </x:row>
    <x:row r="21" ht="23" customHeight="1">
      <x:c r="A21" s="3"/>
      <x:c r="B21" s="34" t="n">
        <x:f>IF(MONTH(DATE(Milestones!$C$6,4,1)-WEEKDAY(DATE(Milestones!$C$6,4,1),2)+1+28)=4,DATE(Milestones!$C$6,4,1)-WEEKDAY(DATE(Milestones!$C$6,4,1),2)+1+28,"")</x:f>
        <x:v>46503</x:v>
      </x:c>
      <x:c r="C21" s="34" t="n">
        <x:f>IF(MONTH(DATE(Milestones!$C$6,4,1)-WEEKDAY(DATE(Milestones!$C$6,4,1),2)+1+29)=4,DATE(Milestones!$C$6,4,1)-WEEKDAY(DATE(Milestones!$C$6,4,1),2)+1+29,"")</x:f>
        <x:v>46504</x:v>
      </x:c>
      <x:c r="D21" s="34" t="n">
        <x:f>IF(MONTH(DATE(Milestones!$C$6,4,1)-WEEKDAY(DATE(Milestones!$C$6,4,1),2)+1+30)=4,DATE(Milestones!$C$6,4,1)-WEEKDAY(DATE(Milestones!$C$6,4,1),2)+1+30,"")</x:f>
        <x:v>46505</x:v>
      </x:c>
      <x:c r="E21" s="34" t="n">
        <x:f>IF(MONTH(DATE(Milestones!$C$6,4,1)-WEEKDAY(DATE(Milestones!$C$6,4,1),2)+1+31)=4,DATE(Milestones!$C$6,4,1)-WEEKDAY(DATE(Milestones!$C$6,4,1),2)+1+31,"")</x:f>
        <x:v>46506</x:v>
      </x:c>
      <x:c r="F21" s="34" t="n">
        <x:f>IF(MONTH(DATE(Milestones!$C$6,4,1)-WEEKDAY(DATE(Milestones!$C$6,4,1),2)+1+32)=4,DATE(Milestones!$C$6,4,1)-WEEKDAY(DATE(Milestones!$C$6,4,1),2)+1+32,"")</x:f>
        <x:v>46507</x:v>
      </x:c>
      <x:c r="G21" s="34" t="str">
        <x:f>IF(MONTH(DATE(Milestones!$C$6,4,1)-WEEKDAY(DATE(Milestones!$C$6,4,1),2)+1+33)=4,DATE(Milestones!$C$6,4,1)-WEEKDAY(DATE(Milestones!$C$6,4,1),2)+1+33,"")</x:f>
      </x:c>
      <x:c r="H21" s="34" t="str">
        <x:f>IF(MONTH(DATE(Milestones!$C$6,4,1)-WEEKDAY(DATE(Milestones!$C$6,4,1),2)+1+34)=4,DATE(Milestones!$C$6,4,1)-WEEKDAY(DATE(Milestones!$C$6,4,1),2)+1+34,"")</x:f>
      </x:c>
      <x:c r="I21" s="3"/>
      <x:c r="J21" s="34" t="n">
        <x:f>IF(MONTH(DATE(Milestones!$C$6,5,1)-WEEKDAY(DATE(Milestones!$C$6,5,1),2)+1+28)=5,DATE(Milestones!$C$6,5,1)-WEEKDAY(DATE(Milestones!$C$6,5,1),2)+1+28,"")</x:f>
        <x:v>46531</x:v>
      </x:c>
      <x:c r="K21" s="34" t="n">
        <x:f>IF(MONTH(DATE(Milestones!$C$6,5,1)-WEEKDAY(DATE(Milestones!$C$6,5,1),2)+1+29)=5,DATE(Milestones!$C$6,5,1)-WEEKDAY(DATE(Milestones!$C$6,5,1),2)+1+29,"")</x:f>
        <x:v>46532</x:v>
      </x:c>
      <x:c r="L21" s="34" t="n">
        <x:f>IF(MONTH(DATE(Milestones!$C$6,5,1)-WEEKDAY(DATE(Milestones!$C$6,5,1),2)+1+30)=5,DATE(Milestones!$C$6,5,1)-WEEKDAY(DATE(Milestones!$C$6,5,1),2)+1+30,"")</x:f>
        <x:v>46533</x:v>
      </x:c>
      <x:c r="M21" s="34" t="n">
        <x:f>IF(MONTH(DATE(Milestones!$C$6,5,1)-WEEKDAY(DATE(Milestones!$C$6,5,1),2)+1+31)=5,DATE(Milestones!$C$6,5,1)-WEEKDAY(DATE(Milestones!$C$6,5,1),2)+1+31,"")</x:f>
        <x:v>46534</x:v>
      </x:c>
      <x:c r="N21" s="34" t="n">
        <x:f>IF(MONTH(DATE(Milestones!$C$6,5,1)-WEEKDAY(DATE(Milestones!$C$6,5,1),2)+1+32)=5,DATE(Milestones!$C$6,5,1)-WEEKDAY(DATE(Milestones!$C$6,5,1),2)+1+32,"")</x:f>
        <x:v>46535</x:v>
      </x:c>
      <x:c r="O21" s="34" t="n">
        <x:f>IF(MONTH(DATE(Milestones!$C$6,5,1)-WEEKDAY(DATE(Milestones!$C$6,5,1),2)+1+33)=5,DATE(Milestones!$C$6,5,1)-WEEKDAY(DATE(Milestones!$C$6,5,1),2)+1+33,"")</x:f>
        <x:v>46536</x:v>
      </x:c>
      <x:c r="P21" s="34" t="n">
        <x:f>IF(MONTH(DATE(Milestones!$C$6,5,1)-WEEKDAY(DATE(Milestones!$C$6,5,1),2)+1+34)=5,DATE(Milestones!$C$6,5,1)-WEEKDAY(DATE(Milestones!$C$6,5,1),2)+1+34,"")</x:f>
        <x:v>46537</x:v>
      </x:c>
      <x:c r="Q21" s="3"/>
      <x:c r="R21" s="34" t="n">
        <x:f>IF(MONTH(DATE(Milestones!$C$6,6,1)-WEEKDAY(DATE(Milestones!$C$6,6,1),2)+1+28)=6,DATE(Milestones!$C$6,6,1)-WEEKDAY(DATE(Milestones!$C$6,6,1),2)+1+28,"")</x:f>
        <x:v>46566</x:v>
      </x:c>
      <x:c r="S21" s="34" t="n">
        <x:f>IF(MONTH(DATE(Milestones!$C$6,6,1)-WEEKDAY(DATE(Milestones!$C$6,6,1),2)+1+29)=6,DATE(Milestones!$C$6,6,1)-WEEKDAY(DATE(Milestones!$C$6,6,1),2)+1+29,"")</x:f>
        <x:v>46567</x:v>
      </x:c>
      <x:c r="T21" s="34" t="n">
        <x:f>IF(MONTH(DATE(Milestones!$C$6,6,1)-WEEKDAY(DATE(Milestones!$C$6,6,1),2)+1+30)=6,DATE(Milestones!$C$6,6,1)-WEEKDAY(DATE(Milestones!$C$6,6,1),2)+1+30,"")</x:f>
        <x:v>46568</x:v>
      </x:c>
      <x:c r="U21" s="34" t="str">
        <x:f>IF(MONTH(DATE(Milestones!$C$6,6,1)-WEEKDAY(DATE(Milestones!$C$6,6,1),2)+1+31)=6,DATE(Milestones!$C$6,6,1)-WEEKDAY(DATE(Milestones!$C$6,6,1),2)+1+31,"")</x:f>
      </x:c>
      <x:c r="V21" s="34" t="str">
        <x:f>IF(MONTH(DATE(Milestones!$C$6,6,1)-WEEKDAY(DATE(Milestones!$C$6,6,1),2)+1+32)=6,DATE(Milestones!$C$6,6,1)-WEEKDAY(DATE(Milestones!$C$6,6,1),2)+1+32,"")</x:f>
      </x:c>
      <x:c r="W21" s="34" t="str">
        <x:f>IF(MONTH(DATE(Milestones!$C$6,6,1)-WEEKDAY(DATE(Milestones!$C$6,6,1),2)+1+33)=6,DATE(Milestones!$C$6,6,1)-WEEKDAY(DATE(Milestones!$C$6,6,1),2)+1+33,"")</x:f>
      </x:c>
      <x:c r="X21" s="34" t="str">
        <x:f>IF(MONTH(DATE(Milestones!$C$6,6,1)-WEEKDAY(DATE(Milestones!$C$6,6,1),2)+1+34)=6,DATE(Milestones!$C$6,6,1)-WEEKDAY(DATE(Milestones!$C$6,6,1),2)+1+34,"")</x:f>
      </x:c>
    </x:row>
    <x:row r="22" ht="23" customHeight="1">
      <x:c r="A22" s="3"/>
      <x:c r="B22" s="34" t="str">
        <x:f>IF(MONTH(DATE(Milestones!$C$6,4,1)-WEEKDAY(DATE(Milestones!$C$6,4,1),2)+1+35)=4,DATE(Milestones!$C$6,4,1)-WEEKDAY(DATE(Milestones!$C$6,4,1),2)+1+35,"")</x:f>
      </x:c>
      <x:c r="C22" s="34" t="str">
        <x:f>IF(MONTH(DATE(Milestones!$C$6,4,1)-WEEKDAY(DATE(Milestones!$C$6,4,1),2)+1+36)=4,DATE(Milestones!$C$6,4,1)-WEEKDAY(DATE(Milestones!$C$6,4,1),2)+1+36,"")</x:f>
      </x:c>
      <x:c r="D22" s="34" t="str">
        <x:f>IF(MONTH(DATE(Milestones!$C$6,4,1)-WEEKDAY(DATE(Milestones!$C$6,4,1),2)+1+37)=4,DATE(Milestones!$C$6,4,1)-WEEKDAY(DATE(Milestones!$C$6,4,1),2)+1+37,"")</x:f>
      </x:c>
      <x:c r="E22" s="34" t="str">
        <x:f>IF(MONTH(DATE(Milestones!$C$6,4,1)-WEEKDAY(DATE(Milestones!$C$6,4,1),2)+1+38)=4,DATE(Milestones!$C$6,4,1)-WEEKDAY(DATE(Milestones!$C$6,4,1),2)+1+38,"")</x:f>
      </x:c>
      <x:c r="F22" s="34" t="str">
        <x:f>IF(MONTH(DATE(Milestones!$C$6,4,1)-WEEKDAY(DATE(Milestones!$C$6,4,1),2)+1+39)=4,DATE(Milestones!$C$6,4,1)-WEEKDAY(DATE(Milestones!$C$6,4,1),2)+1+39,"")</x:f>
      </x:c>
      <x:c r="G22" s="34" t="str">
        <x:f>IF(MONTH(DATE(Milestones!$C$6,4,1)-WEEKDAY(DATE(Milestones!$C$6,4,1),2)+1+40)=4,DATE(Milestones!$C$6,4,1)-WEEKDAY(DATE(Milestones!$C$6,4,1),2)+1+40,"")</x:f>
      </x:c>
      <x:c r="H22" s="34" t="str">
        <x:f>IF(MONTH(DATE(Milestones!$C$6,4,1)-WEEKDAY(DATE(Milestones!$C$6,4,1),2)+1+41)=4,DATE(Milestones!$C$6,4,1)-WEEKDAY(DATE(Milestones!$C$6,4,1),2)+1+41,"")</x:f>
      </x:c>
      <x:c r="I22" s="3"/>
      <x:c r="J22" s="34" t="n">
        <x:f>IF(MONTH(DATE(Milestones!$C$6,5,1)-WEEKDAY(DATE(Milestones!$C$6,5,1),2)+1+35)=5,DATE(Milestones!$C$6,5,1)-WEEKDAY(DATE(Milestones!$C$6,5,1),2)+1+35,"")</x:f>
        <x:v>46538</x:v>
      </x:c>
      <x:c r="K22" s="34" t="str">
        <x:f>IF(MONTH(DATE(Milestones!$C$6,5,1)-WEEKDAY(DATE(Milestones!$C$6,5,1),2)+1+36)=5,DATE(Milestones!$C$6,5,1)-WEEKDAY(DATE(Milestones!$C$6,5,1),2)+1+36,"")</x:f>
      </x:c>
      <x:c r="L22" s="34" t="str">
        <x:f>IF(MONTH(DATE(Milestones!$C$6,5,1)-WEEKDAY(DATE(Milestones!$C$6,5,1),2)+1+37)=5,DATE(Milestones!$C$6,5,1)-WEEKDAY(DATE(Milestones!$C$6,5,1),2)+1+37,"")</x:f>
      </x:c>
      <x:c r="M22" s="34" t="str">
        <x:f>IF(MONTH(DATE(Milestones!$C$6,5,1)-WEEKDAY(DATE(Milestones!$C$6,5,1),2)+1+38)=5,DATE(Milestones!$C$6,5,1)-WEEKDAY(DATE(Milestones!$C$6,5,1),2)+1+38,"")</x:f>
      </x:c>
      <x:c r="N22" s="34" t="str">
        <x:f>IF(MONTH(DATE(Milestones!$C$6,5,1)-WEEKDAY(DATE(Milestones!$C$6,5,1),2)+1+39)=5,DATE(Milestones!$C$6,5,1)-WEEKDAY(DATE(Milestones!$C$6,5,1),2)+1+39,"")</x:f>
      </x:c>
      <x:c r="O22" s="34" t="str">
        <x:f>IF(MONTH(DATE(Milestones!$C$6,5,1)-WEEKDAY(DATE(Milestones!$C$6,5,1),2)+1+40)=5,DATE(Milestones!$C$6,5,1)-WEEKDAY(DATE(Milestones!$C$6,5,1),2)+1+40,"")</x:f>
      </x:c>
      <x:c r="P22" s="34" t="str">
        <x:f>IF(MONTH(DATE(Milestones!$C$6,5,1)-WEEKDAY(DATE(Milestones!$C$6,5,1),2)+1+41)=5,DATE(Milestones!$C$6,5,1)-WEEKDAY(DATE(Milestones!$C$6,5,1),2)+1+41,"")</x:f>
      </x:c>
      <x:c r="Q22" s="3"/>
      <x:c r="R22" s="34" t="str">
        <x:f>IF(MONTH(DATE(Milestones!$C$6,6,1)-WEEKDAY(DATE(Milestones!$C$6,6,1),2)+1+35)=6,DATE(Milestones!$C$6,6,1)-WEEKDAY(DATE(Milestones!$C$6,6,1),2)+1+35,"")</x:f>
      </x:c>
      <x:c r="S22" s="34" t="str">
        <x:f>IF(MONTH(DATE(Milestones!$C$6,6,1)-WEEKDAY(DATE(Milestones!$C$6,6,1),2)+1+36)=6,DATE(Milestones!$C$6,6,1)-WEEKDAY(DATE(Milestones!$C$6,6,1),2)+1+36,"")</x:f>
      </x:c>
      <x:c r="T22" s="34" t="str">
        <x:f>IF(MONTH(DATE(Milestones!$C$6,6,1)-WEEKDAY(DATE(Milestones!$C$6,6,1),2)+1+37)=6,DATE(Milestones!$C$6,6,1)-WEEKDAY(DATE(Milestones!$C$6,6,1),2)+1+37,"")</x:f>
      </x:c>
      <x:c r="U22" s="34" t="str">
        <x:f>IF(MONTH(DATE(Milestones!$C$6,6,1)-WEEKDAY(DATE(Milestones!$C$6,6,1),2)+1+38)=6,DATE(Milestones!$C$6,6,1)-WEEKDAY(DATE(Milestones!$C$6,6,1),2)+1+38,"")</x:f>
      </x:c>
      <x:c r="V22" s="34" t="str">
        <x:f>IF(MONTH(DATE(Milestones!$C$6,6,1)-WEEKDAY(DATE(Milestones!$C$6,6,1),2)+1+39)=6,DATE(Milestones!$C$6,6,1)-WEEKDAY(DATE(Milestones!$C$6,6,1),2)+1+39,"")</x:f>
      </x:c>
      <x:c r="W22" s="34" t="str">
        <x:f>IF(MONTH(DATE(Milestones!$C$6,6,1)-WEEKDAY(DATE(Milestones!$C$6,6,1),2)+1+40)=6,DATE(Milestones!$C$6,6,1)-WEEKDAY(DATE(Milestones!$C$6,6,1),2)+1+40,"")</x:f>
      </x:c>
      <x:c r="X22" s="34" t="str">
        <x:f>IF(MONTH(DATE(Milestones!$C$6,6,1)-WEEKDAY(DATE(Milestones!$C$6,6,1),2)+1+41)=6,DATE(Milestones!$C$6,6,1)-WEEKDAY(DATE(Milestones!$C$6,6,1),2)+1+41,"")</x:f>
      </x:c>
    </x:row>
    <x:row r="23" ht="23" customHeight="1">
      <x:c r="A23" s="3"/>
      <x:c r="B23" s="11" t="str">
        <x:v>JULY</x:v>
      </x:c>
      <x:c r="C23" s="11" t="str">
        <x:v>JULY</x:v>
      </x:c>
      <x:c r="D23" s="11" t="str">
        <x:v>JULY</x:v>
      </x:c>
      <x:c r="E23" s="11" t="str">
        <x:v>JULY</x:v>
      </x:c>
      <x:c r="F23" s="11" t="str">
        <x:v>JULY</x:v>
      </x:c>
      <x:c r="G23" s="11" t="str">
        <x:v>JULY</x:v>
      </x:c>
      <x:c r="H23" s="11" t="str">
        <x:v>JULY</x:v>
      </x:c>
      <x:c r="I23" s="3"/>
      <x:c r="J23" s="11" t="str">
        <x:v>AUGUST</x:v>
      </x:c>
      <x:c r="K23" s="11" t="str">
        <x:v>AUGUST</x:v>
      </x:c>
      <x:c r="L23" s="11" t="str">
        <x:v>AUGUST</x:v>
      </x:c>
      <x:c r="M23" s="11" t="str">
        <x:v>AUGUST</x:v>
      </x:c>
      <x:c r="N23" s="11" t="str">
        <x:v>AUGUST</x:v>
      </x:c>
      <x:c r="O23" s="11" t="str">
        <x:v>AUGUST</x:v>
      </x:c>
      <x:c r="P23" s="11" t="str">
        <x:v>AUGUST</x:v>
      </x:c>
      <x:c r="Q23" s="3"/>
      <x:c r="R23" s="11" t="str">
        <x:v>SEPTEMBER</x:v>
      </x:c>
      <x:c r="S23" s="11" t="str">
        <x:v>SEPTEMBER</x:v>
      </x:c>
      <x:c r="T23" s="11" t="str">
        <x:v>SEPTEMBER</x:v>
      </x:c>
      <x:c r="U23" s="11" t="str">
        <x:v>SEPTEMBER</x:v>
      </x:c>
      <x:c r="V23" s="11" t="str">
        <x:v>SEPTEMBER</x:v>
      </x:c>
      <x:c r="W23" s="11" t="str">
        <x:v>SEPTEMBER</x:v>
      </x:c>
      <x:c r="X23" s="11" t="str">
        <x:v>SEPTEMBER</x:v>
      </x:c>
    </x:row>
    <x:row r="24" ht="23" customHeight="1">
      <x:c r="A24" s="3"/>
      <x:c r="B24" s="3" t="str">
        <x:v>M</x:v>
      </x:c>
      <x:c r="C24" s="3" t="str">
        <x:v>T</x:v>
      </x:c>
      <x:c r="D24" s="3" t="str">
        <x:v>W</x:v>
      </x:c>
      <x:c r="E24" s="3" t="str">
        <x:v>T</x:v>
      </x:c>
      <x:c r="F24" s="3" t="str">
        <x:v>F</x:v>
      </x:c>
      <x:c r="G24" s="3" t="str">
        <x:v>S</x:v>
      </x:c>
      <x:c r="H24" s="3" t="str">
        <x:v>S</x:v>
      </x:c>
      <x:c r="I24" s="3"/>
      <x:c r="J24" s="3" t="str">
        <x:v>M</x:v>
      </x:c>
      <x:c r="K24" s="3" t="str">
        <x:v>T</x:v>
      </x:c>
      <x:c r="L24" s="3" t="str">
        <x:v>W</x:v>
      </x:c>
      <x:c r="M24" s="3" t="str">
        <x:v>T</x:v>
      </x:c>
      <x:c r="N24" s="3" t="str">
        <x:v>F</x:v>
      </x:c>
      <x:c r="O24" s="3" t="str">
        <x:v>S</x:v>
      </x:c>
      <x:c r="P24" s="3" t="str">
        <x:v>S</x:v>
      </x:c>
      <x:c r="Q24" s="3"/>
      <x:c r="R24" s="3" t="str">
        <x:v>M</x:v>
      </x:c>
      <x:c r="S24" s="3" t="str">
        <x:v>T</x:v>
      </x:c>
      <x:c r="T24" s="3" t="str">
        <x:v>W</x:v>
      </x:c>
      <x:c r="U24" s="3" t="str">
        <x:v>T</x:v>
      </x:c>
      <x:c r="V24" s="3" t="str">
        <x:v>F</x:v>
      </x:c>
      <x:c r="W24" s="3" t="str">
        <x:v>S</x:v>
      </x:c>
      <x:c r="X24" s="3" t="str">
        <x:v>S</x:v>
      </x:c>
    </x:row>
    <x:row r="25" ht="23" customHeight="1">
      <x:c r="A25" s="3"/>
      <x:c r="B25" s="34" t="str">
        <x:f>IF(MONTH(DATE(Milestones!$C$6,7,1)-WEEKDAY(DATE(Milestones!$C$6,7,1),2)+1+0)=7,DATE(Milestones!$C$6,7,1)-WEEKDAY(DATE(Milestones!$C$6,7,1),2)+1+0,"")</x:f>
      </x:c>
      <x:c r="C25" s="34" t="str">
        <x:f>IF(MONTH(DATE(Milestones!$C$6,7,1)-WEEKDAY(DATE(Milestones!$C$6,7,1),2)+1+1)=7,DATE(Milestones!$C$6,7,1)-WEEKDAY(DATE(Milestones!$C$6,7,1),2)+1+1,"")</x:f>
      </x:c>
      <x:c r="D25" s="34" t="str">
        <x:f>IF(MONTH(DATE(Milestones!$C$6,7,1)-WEEKDAY(DATE(Milestones!$C$6,7,1),2)+1+2)=7,DATE(Milestones!$C$6,7,1)-WEEKDAY(DATE(Milestones!$C$6,7,1),2)+1+2,"")</x:f>
      </x:c>
      <x:c r="E25" s="34" t="n">
        <x:f>IF(MONTH(DATE(Milestones!$C$6,7,1)-WEEKDAY(DATE(Milestones!$C$6,7,1),2)+1+3)=7,DATE(Milestones!$C$6,7,1)-WEEKDAY(DATE(Milestones!$C$6,7,1),2)+1+3,"")</x:f>
        <x:v>46569</x:v>
      </x:c>
      <x:c r="F25" s="34" t="n">
        <x:f>IF(MONTH(DATE(Milestones!$C$6,7,1)-WEEKDAY(DATE(Milestones!$C$6,7,1),2)+1+4)=7,DATE(Milestones!$C$6,7,1)-WEEKDAY(DATE(Milestones!$C$6,7,1),2)+1+4,"")</x:f>
        <x:v>46570</x:v>
      </x:c>
      <x:c r="G25" s="34" t="n">
        <x:f>IF(MONTH(DATE(Milestones!$C$6,7,1)-WEEKDAY(DATE(Milestones!$C$6,7,1),2)+1+5)=7,DATE(Milestones!$C$6,7,1)-WEEKDAY(DATE(Milestones!$C$6,7,1),2)+1+5,"")</x:f>
        <x:v>46571</x:v>
      </x:c>
      <x:c r="H25" s="34" t="n">
        <x:f>IF(MONTH(DATE(Milestones!$C$6,7,1)-WEEKDAY(DATE(Milestones!$C$6,7,1),2)+1+6)=7,DATE(Milestones!$C$6,7,1)-WEEKDAY(DATE(Milestones!$C$6,7,1),2)+1+6,"")</x:f>
        <x:v>46572</x:v>
      </x:c>
      <x:c r="I25" s="3"/>
      <x:c r="J25" s="34" t="str">
        <x:f>IF(MONTH(DATE(Milestones!$C$6,8,1)-WEEKDAY(DATE(Milestones!$C$6,8,1),2)+1+0)=8,DATE(Milestones!$C$6,8,1)-WEEKDAY(DATE(Milestones!$C$6,8,1),2)+1+0,"")</x:f>
      </x:c>
      <x:c r="K25" s="34" t="str">
        <x:f>IF(MONTH(DATE(Milestones!$C$6,8,1)-WEEKDAY(DATE(Milestones!$C$6,8,1),2)+1+1)=8,DATE(Milestones!$C$6,8,1)-WEEKDAY(DATE(Milestones!$C$6,8,1),2)+1+1,"")</x:f>
      </x:c>
      <x:c r="L25" s="34" t="str">
        <x:f>IF(MONTH(DATE(Milestones!$C$6,8,1)-WEEKDAY(DATE(Milestones!$C$6,8,1),2)+1+2)=8,DATE(Milestones!$C$6,8,1)-WEEKDAY(DATE(Milestones!$C$6,8,1),2)+1+2,"")</x:f>
      </x:c>
      <x:c r="M25" s="34" t="str">
        <x:f>IF(MONTH(DATE(Milestones!$C$6,8,1)-WEEKDAY(DATE(Milestones!$C$6,8,1),2)+1+3)=8,DATE(Milestones!$C$6,8,1)-WEEKDAY(DATE(Milestones!$C$6,8,1),2)+1+3,"")</x:f>
      </x:c>
      <x:c r="N25" s="34" t="str">
        <x:f>IF(MONTH(DATE(Milestones!$C$6,8,1)-WEEKDAY(DATE(Milestones!$C$6,8,1),2)+1+4)=8,DATE(Milestones!$C$6,8,1)-WEEKDAY(DATE(Milestones!$C$6,8,1),2)+1+4,"")</x:f>
      </x:c>
      <x:c r="O25" s="34" t="str">
        <x:f>IF(MONTH(DATE(Milestones!$C$6,8,1)-WEEKDAY(DATE(Milestones!$C$6,8,1),2)+1+5)=8,DATE(Milestones!$C$6,8,1)-WEEKDAY(DATE(Milestones!$C$6,8,1),2)+1+5,"")</x:f>
      </x:c>
      <x:c r="P25" s="34" t="n">
        <x:f>IF(MONTH(DATE(Milestones!$C$6,8,1)-WEEKDAY(DATE(Milestones!$C$6,8,1),2)+1+6)=8,DATE(Milestones!$C$6,8,1)-WEEKDAY(DATE(Milestones!$C$6,8,1),2)+1+6,"")</x:f>
        <x:v>46600</x:v>
      </x:c>
      <x:c r="Q25" s="3"/>
      <x:c r="R25" s="34" t="str">
        <x:f>IF(MONTH(DATE(Milestones!$C$6,9,1)-WEEKDAY(DATE(Milestones!$C$6,9,1),2)+1+0)=9,DATE(Milestones!$C$6,9,1)-WEEKDAY(DATE(Milestones!$C$6,9,1),2)+1+0,"")</x:f>
      </x:c>
      <x:c r="S25" s="34" t="str">
        <x:f>IF(MONTH(DATE(Milestones!$C$6,9,1)-WEEKDAY(DATE(Milestones!$C$6,9,1),2)+1+1)=9,DATE(Milestones!$C$6,9,1)-WEEKDAY(DATE(Milestones!$C$6,9,1),2)+1+1,"")</x:f>
      </x:c>
      <x:c r="T25" s="34" t="n">
        <x:f>IF(MONTH(DATE(Milestones!$C$6,9,1)-WEEKDAY(DATE(Milestones!$C$6,9,1),2)+1+2)=9,DATE(Milestones!$C$6,9,1)-WEEKDAY(DATE(Milestones!$C$6,9,1),2)+1+2,"")</x:f>
        <x:v>46631</x:v>
      </x:c>
      <x:c r="U25" s="34" t="n">
        <x:f>IF(MONTH(DATE(Milestones!$C$6,9,1)-WEEKDAY(DATE(Milestones!$C$6,9,1),2)+1+3)=9,DATE(Milestones!$C$6,9,1)-WEEKDAY(DATE(Milestones!$C$6,9,1),2)+1+3,"")</x:f>
        <x:v>46632</x:v>
      </x:c>
      <x:c r="V25" s="34" t="n">
        <x:f>IF(MONTH(DATE(Milestones!$C$6,9,1)-WEEKDAY(DATE(Milestones!$C$6,9,1),2)+1+4)=9,DATE(Milestones!$C$6,9,1)-WEEKDAY(DATE(Milestones!$C$6,9,1),2)+1+4,"")</x:f>
        <x:v>46633</x:v>
      </x:c>
      <x:c r="W25" s="34" t="n">
        <x:f>IF(MONTH(DATE(Milestones!$C$6,9,1)-WEEKDAY(DATE(Milestones!$C$6,9,1),2)+1+5)=9,DATE(Milestones!$C$6,9,1)-WEEKDAY(DATE(Milestones!$C$6,9,1),2)+1+5,"")</x:f>
        <x:v>46634</x:v>
      </x:c>
      <x:c r="X25" s="34" t="n">
        <x:f>IF(MONTH(DATE(Milestones!$C$6,9,1)-WEEKDAY(DATE(Milestones!$C$6,9,1),2)+1+6)=9,DATE(Milestones!$C$6,9,1)-WEEKDAY(DATE(Milestones!$C$6,9,1),2)+1+6,"")</x:f>
        <x:v>46635</x:v>
      </x:c>
    </x:row>
    <x:row r="26" ht="23" customHeight="1">
      <x:c r="A26" s="3"/>
      <x:c r="B26" s="34" t="n">
        <x:f>IF(MONTH(DATE(Milestones!$C$6,7,1)-WEEKDAY(DATE(Milestones!$C$6,7,1),2)+1+7)=7,DATE(Milestones!$C$6,7,1)-WEEKDAY(DATE(Milestones!$C$6,7,1),2)+1+7,"")</x:f>
        <x:v>46573</x:v>
      </x:c>
      <x:c r="C26" s="34" t="n">
        <x:f>IF(MONTH(DATE(Milestones!$C$6,7,1)-WEEKDAY(DATE(Milestones!$C$6,7,1),2)+1+8)=7,DATE(Milestones!$C$6,7,1)-WEEKDAY(DATE(Milestones!$C$6,7,1),2)+1+8,"")</x:f>
        <x:v>46574</x:v>
      </x:c>
      <x:c r="D26" s="34" t="n">
        <x:f>IF(MONTH(DATE(Milestones!$C$6,7,1)-WEEKDAY(DATE(Milestones!$C$6,7,1),2)+1+9)=7,DATE(Milestones!$C$6,7,1)-WEEKDAY(DATE(Milestones!$C$6,7,1),2)+1+9,"")</x:f>
        <x:v>46575</x:v>
      </x:c>
      <x:c r="E26" s="34" t="n">
        <x:f>IF(MONTH(DATE(Milestones!$C$6,7,1)-WEEKDAY(DATE(Milestones!$C$6,7,1),2)+1+10)=7,DATE(Milestones!$C$6,7,1)-WEEKDAY(DATE(Milestones!$C$6,7,1),2)+1+10,"")</x:f>
        <x:v>46576</x:v>
      </x:c>
      <x:c r="F26" s="34" t="n">
        <x:f>IF(MONTH(DATE(Milestones!$C$6,7,1)-WEEKDAY(DATE(Milestones!$C$6,7,1),2)+1+11)=7,DATE(Milestones!$C$6,7,1)-WEEKDAY(DATE(Milestones!$C$6,7,1),2)+1+11,"")</x:f>
        <x:v>46577</x:v>
      </x:c>
      <x:c r="G26" s="34" t="n">
        <x:f>IF(MONTH(DATE(Milestones!$C$6,7,1)-WEEKDAY(DATE(Milestones!$C$6,7,1),2)+1+12)=7,DATE(Milestones!$C$6,7,1)-WEEKDAY(DATE(Milestones!$C$6,7,1),2)+1+12,"")</x:f>
        <x:v>46578</x:v>
      </x:c>
      <x:c r="H26" s="34" t="n">
        <x:f>IF(MONTH(DATE(Milestones!$C$6,7,1)-WEEKDAY(DATE(Milestones!$C$6,7,1),2)+1+13)=7,DATE(Milestones!$C$6,7,1)-WEEKDAY(DATE(Milestones!$C$6,7,1),2)+1+13,"")</x:f>
        <x:v>46579</x:v>
      </x:c>
      <x:c r="I26" s="3"/>
      <x:c r="J26" s="34" t="n">
        <x:f>IF(MONTH(DATE(Milestones!$C$6,8,1)-WEEKDAY(DATE(Milestones!$C$6,8,1),2)+1+7)=8,DATE(Milestones!$C$6,8,1)-WEEKDAY(DATE(Milestones!$C$6,8,1),2)+1+7,"")</x:f>
        <x:v>46601</x:v>
      </x:c>
      <x:c r="K26" s="34" t="n">
        <x:f>IF(MONTH(DATE(Milestones!$C$6,8,1)-WEEKDAY(DATE(Milestones!$C$6,8,1),2)+1+8)=8,DATE(Milestones!$C$6,8,1)-WEEKDAY(DATE(Milestones!$C$6,8,1),2)+1+8,"")</x:f>
        <x:v>46602</x:v>
      </x:c>
      <x:c r="L26" s="34" t="n">
        <x:f>IF(MONTH(DATE(Milestones!$C$6,8,1)-WEEKDAY(DATE(Milestones!$C$6,8,1),2)+1+9)=8,DATE(Milestones!$C$6,8,1)-WEEKDAY(DATE(Milestones!$C$6,8,1),2)+1+9,"")</x:f>
        <x:v>46603</x:v>
      </x:c>
      <x:c r="M26" s="34" t="n">
        <x:f>IF(MONTH(DATE(Milestones!$C$6,8,1)-WEEKDAY(DATE(Milestones!$C$6,8,1),2)+1+10)=8,DATE(Milestones!$C$6,8,1)-WEEKDAY(DATE(Milestones!$C$6,8,1),2)+1+10,"")</x:f>
        <x:v>46604</x:v>
      </x:c>
      <x:c r="N26" s="34" t="n">
        <x:f>IF(MONTH(DATE(Milestones!$C$6,8,1)-WEEKDAY(DATE(Milestones!$C$6,8,1),2)+1+11)=8,DATE(Milestones!$C$6,8,1)-WEEKDAY(DATE(Milestones!$C$6,8,1),2)+1+11,"")</x:f>
        <x:v>46605</x:v>
      </x:c>
      <x:c r="O26" s="34" t="n">
        <x:f>IF(MONTH(DATE(Milestones!$C$6,8,1)-WEEKDAY(DATE(Milestones!$C$6,8,1),2)+1+12)=8,DATE(Milestones!$C$6,8,1)-WEEKDAY(DATE(Milestones!$C$6,8,1),2)+1+12,"")</x:f>
        <x:v>46606</x:v>
      </x:c>
      <x:c r="P26" s="34" t="n">
        <x:f>IF(MONTH(DATE(Milestones!$C$6,8,1)-WEEKDAY(DATE(Milestones!$C$6,8,1),2)+1+13)=8,DATE(Milestones!$C$6,8,1)-WEEKDAY(DATE(Milestones!$C$6,8,1),2)+1+13,"")</x:f>
        <x:v>46607</x:v>
      </x:c>
      <x:c r="Q26" s="3"/>
      <x:c r="R26" s="34" t="n">
        <x:f>IF(MONTH(DATE(Milestones!$C$6,9,1)-WEEKDAY(DATE(Milestones!$C$6,9,1),2)+1+7)=9,DATE(Milestones!$C$6,9,1)-WEEKDAY(DATE(Milestones!$C$6,9,1),2)+1+7,"")</x:f>
        <x:v>46636</x:v>
      </x:c>
      <x:c r="S26" s="34" t="n">
        <x:f>IF(MONTH(DATE(Milestones!$C$6,9,1)-WEEKDAY(DATE(Milestones!$C$6,9,1),2)+1+8)=9,DATE(Milestones!$C$6,9,1)-WEEKDAY(DATE(Milestones!$C$6,9,1),2)+1+8,"")</x:f>
        <x:v>46637</x:v>
      </x:c>
      <x:c r="T26" s="34" t="n">
        <x:f>IF(MONTH(DATE(Milestones!$C$6,9,1)-WEEKDAY(DATE(Milestones!$C$6,9,1),2)+1+9)=9,DATE(Milestones!$C$6,9,1)-WEEKDAY(DATE(Milestones!$C$6,9,1),2)+1+9,"")</x:f>
        <x:v>46638</x:v>
      </x:c>
      <x:c r="U26" s="34" t="n">
        <x:f>IF(MONTH(DATE(Milestones!$C$6,9,1)-WEEKDAY(DATE(Milestones!$C$6,9,1),2)+1+10)=9,DATE(Milestones!$C$6,9,1)-WEEKDAY(DATE(Milestones!$C$6,9,1),2)+1+10,"")</x:f>
        <x:v>46639</x:v>
      </x:c>
      <x:c r="V26" s="34" t="n">
        <x:f>IF(MONTH(DATE(Milestones!$C$6,9,1)-WEEKDAY(DATE(Milestones!$C$6,9,1),2)+1+11)=9,DATE(Milestones!$C$6,9,1)-WEEKDAY(DATE(Milestones!$C$6,9,1),2)+1+11,"")</x:f>
        <x:v>46640</x:v>
      </x:c>
      <x:c r="W26" s="34" t="n">
        <x:f>IF(MONTH(DATE(Milestones!$C$6,9,1)-WEEKDAY(DATE(Milestones!$C$6,9,1),2)+1+12)=9,DATE(Milestones!$C$6,9,1)-WEEKDAY(DATE(Milestones!$C$6,9,1),2)+1+12,"")</x:f>
        <x:v>46641</x:v>
      </x:c>
      <x:c r="X26" s="34" t="n">
        <x:f>IF(MONTH(DATE(Milestones!$C$6,9,1)-WEEKDAY(DATE(Milestones!$C$6,9,1),2)+1+13)=9,DATE(Milestones!$C$6,9,1)-WEEKDAY(DATE(Milestones!$C$6,9,1),2)+1+13,"")</x:f>
        <x:v>46642</x:v>
      </x:c>
    </x:row>
    <x:row r="27" ht="23" customHeight="1">
      <x:c r="A27" s="3"/>
      <x:c r="B27" s="34" t="n">
        <x:f>IF(MONTH(DATE(Milestones!$C$6,7,1)-WEEKDAY(DATE(Milestones!$C$6,7,1),2)+1+14)=7,DATE(Milestones!$C$6,7,1)-WEEKDAY(DATE(Milestones!$C$6,7,1),2)+1+14,"")</x:f>
        <x:v>46580</x:v>
      </x:c>
      <x:c r="C27" s="34" t="n">
        <x:f>IF(MONTH(DATE(Milestones!$C$6,7,1)-WEEKDAY(DATE(Milestones!$C$6,7,1),2)+1+15)=7,DATE(Milestones!$C$6,7,1)-WEEKDAY(DATE(Milestones!$C$6,7,1),2)+1+15,"")</x:f>
        <x:v>46581</x:v>
      </x:c>
      <x:c r="D27" s="34" t="n">
        <x:f>IF(MONTH(DATE(Milestones!$C$6,7,1)-WEEKDAY(DATE(Milestones!$C$6,7,1),2)+1+16)=7,DATE(Milestones!$C$6,7,1)-WEEKDAY(DATE(Milestones!$C$6,7,1),2)+1+16,"")</x:f>
        <x:v>46582</x:v>
      </x:c>
      <x:c r="E27" s="34" t="n">
        <x:f>IF(MONTH(DATE(Milestones!$C$6,7,1)-WEEKDAY(DATE(Milestones!$C$6,7,1),2)+1+17)=7,DATE(Milestones!$C$6,7,1)-WEEKDAY(DATE(Milestones!$C$6,7,1),2)+1+17,"")</x:f>
        <x:v>46583</x:v>
      </x:c>
      <x:c r="F27" s="34" t="n">
        <x:f>IF(MONTH(DATE(Milestones!$C$6,7,1)-WEEKDAY(DATE(Milestones!$C$6,7,1),2)+1+18)=7,DATE(Milestones!$C$6,7,1)-WEEKDAY(DATE(Milestones!$C$6,7,1),2)+1+18,"")</x:f>
        <x:v>46584</x:v>
      </x:c>
      <x:c r="G27" s="34" t="n">
        <x:f>IF(MONTH(DATE(Milestones!$C$6,7,1)-WEEKDAY(DATE(Milestones!$C$6,7,1),2)+1+19)=7,DATE(Milestones!$C$6,7,1)-WEEKDAY(DATE(Milestones!$C$6,7,1),2)+1+19,"")</x:f>
        <x:v>46585</x:v>
      </x:c>
      <x:c r="H27" s="34" t="n">
        <x:f>IF(MONTH(DATE(Milestones!$C$6,7,1)-WEEKDAY(DATE(Milestones!$C$6,7,1),2)+1+20)=7,DATE(Milestones!$C$6,7,1)-WEEKDAY(DATE(Milestones!$C$6,7,1),2)+1+20,"")</x:f>
        <x:v>46586</x:v>
      </x:c>
      <x:c r="I27" s="3"/>
      <x:c r="J27" s="34" t="n">
        <x:f>IF(MONTH(DATE(Milestones!$C$6,8,1)-WEEKDAY(DATE(Milestones!$C$6,8,1),2)+1+14)=8,DATE(Milestones!$C$6,8,1)-WEEKDAY(DATE(Milestones!$C$6,8,1),2)+1+14,"")</x:f>
        <x:v>46608</x:v>
      </x:c>
      <x:c r="K27" s="34" t="n">
        <x:f>IF(MONTH(DATE(Milestones!$C$6,8,1)-WEEKDAY(DATE(Milestones!$C$6,8,1),2)+1+15)=8,DATE(Milestones!$C$6,8,1)-WEEKDAY(DATE(Milestones!$C$6,8,1),2)+1+15,"")</x:f>
        <x:v>46609</x:v>
      </x:c>
      <x:c r="L27" s="34" t="n">
        <x:f>IF(MONTH(DATE(Milestones!$C$6,8,1)-WEEKDAY(DATE(Milestones!$C$6,8,1),2)+1+16)=8,DATE(Milestones!$C$6,8,1)-WEEKDAY(DATE(Milestones!$C$6,8,1),2)+1+16,"")</x:f>
        <x:v>46610</x:v>
      </x:c>
      <x:c r="M27" s="34" t="n">
        <x:f>IF(MONTH(DATE(Milestones!$C$6,8,1)-WEEKDAY(DATE(Milestones!$C$6,8,1),2)+1+17)=8,DATE(Milestones!$C$6,8,1)-WEEKDAY(DATE(Milestones!$C$6,8,1),2)+1+17,"")</x:f>
        <x:v>46611</x:v>
      </x:c>
      <x:c r="N27" s="34" t="n">
        <x:f>IF(MONTH(DATE(Milestones!$C$6,8,1)-WEEKDAY(DATE(Milestones!$C$6,8,1),2)+1+18)=8,DATE(Milestones!$C$6,8,1)-WEEKDAY(DATE(Milestones!$C$6,8,1),2)+1+18,"")</x:f>
        <x:v>46612</x:v>
      </x:c>
      <x:c r="O27" s="34" t="n">
        <x:f>IF(MONTH(DATE(Milestones!$C$6,8,1)-WEEKDAY(DATE(Milestones!$C$6,8,1),2)+1+19)=8,DATE(Milestones!$C$6,8,1)-WEEKDAY(DATE(Milestones!$C$6,8,1),2)+1+19,"")</x:f>
        <x:v>46613</x:v>
      </x:c>
      <x:c r="P27" s="34" t="n">
        <x:f>IF(MONTH(DATE(Milestones!$C$6,8,1)-WEEKDAY(DATE(Milestones!$C$6,8,1),2)+1+20)=8,DATE(Milestones!$C$6,8,1)-WEEKDAY(DATE(Milestones!$C$6,8,1),2)+1+20,"")</x:f>
        <x:v>46614</x:v>
      </x:c>
      <x:c r="Q27" s="3"/>
      <x:c r="R27" s="34" t="n">
        <x:f>IF(MONTH(DATE(Milestones!$C$6,9,1)-WEEKDAY(DATE(Milestones!$C$6,9,1),2)+1+14)=9,DATE(Milestones!$C$6,9,1)-WEEKDAY(DATE(Milestones!$C$6,9,1),2)+1+14,"")</x:f>
        <x:v>46643</x:v>
      </x:c>
      <x:c r="S27" s="34" t="n">
        <x:f>IF(MONTH(DATE(Milestones!$C$6,9,1)-WEEKDAY(DATE(Milestones!$C$6,9,1),2)+1+15)=9,DATE(Milestones!$C$6,9,1)-WEEKDAY(DATE(Milestones!$C$6,9,1),2)+1+15,"")</x:f>
        <x:v>46644</x:v>
      </x:c>
      <x:c r="T27" s="34" t="n">
        <x:f>IF(MONTH(DATE(Milestones!$C$6,9,1)-WEEKDAY(DATE(Milestones!$C$6,9,1),2)+1+16)=9,DATE(Milestones!$C$6,9,1)-WEEKDAY(DATE(Milestones!$C$6,9,1),2)+1+16,"")</x:f>
        <x:v>46645</x:v>
      </x:c>
      <x:c r="U27" s="34" t="n">
        <x:f>IF(MONTH(DATE(Milestones!$C$6,9,1)-WEEKDAY(DATE(Milestones!$C$6,9,1),2)+1+17)=9,DATE(Milestones!$C$6,9,1)-WEEKDAY(DATE(Milestones!$C$6,9,1),2)+1+17,"")</x:f>
        <x:v>46646</x:v>
      </x:c>
      <x:c r="V27" s="34" t="n">
        <x:f>IF(MONTH(DATE(Milestones!$C$6,9,1)-WEEKDAY(DATE(Milestones!$C$6,9,1),2)+1+18)=9,DATE(Milestones!$C$6,9,1)-WEEKDAY(DATE(Milestones!$C$6,9,1),2)+1+18,"")</x:f>
        <x:v>46647</x:v>
      </x:c>
      <x:c r="W27" s="34" t="n">
        <x:f>IF(MONTH(DATE(Milestones!$C$6,9,1)-WEEKDAY(DATE(Milestones!$C$6,9,1),2)+1+19)=9,DATE(Milestones!$C$6,9,1)-WEEKDAY(DATE(Milestones!$C$6,9,1),2)+1+19,"")</x:f>
        <x:v>46648</x:v>
      </x:c>
      <x:c r="X27" s="34" t="n">
        <x:f>IF(MONTH(DATE(Milestones!$C$6,9,1)-WEEKDAY(DATE(Milestones!$C$6,9,1),2)+1+20)=9,DATE(Milestones!$C$6,9,1)-WEEKDAY(DATE(Milestones!$C$6,9,1),2)+1+20,"")</x:f>
        <x:v>46649</x:v>
      </x:c>
    </x:row>
    <x:row r="28" ht="23" customHeight="1">
      <x:c r="A28" s="3"/>
      <x:c r="B28" s="34" t="n">
        <x:f>IF(MONTH(DATE(Milestones!$C$6,7,1)-WEEKDAY(DATE(Milestones!$C$6,7,1),2)+1+21)=7,DATE(Milestones!$C$6,7,1)-WEEKDAY(DATE(Milestones!$C$6,7,1),2)+1+21,"")</x:f>
        <x:v>46587</x:v>
      </x:c>
      <x:c r="C28" s="34" t="n">
        <x:f>IF(MONTH(DATE(Milestones!$C$6,7,1)-WEEKDAY(DATE(Milestones!$C$6,7,1),2)+1+22)=7,DATE(Milestones!$C$6,7,1)-WEEKDAY(DATE(Milestones!$C$6,7,1),2)+1+22,"")</x:f>
        <x:v>46588</x:v>
      </x:c>
      <x:c r="D28" s="34" t="n">
        <x:f>IF(MONTH(DATE(Milestones!$C$6,7,1)-WEEKDAY(DATE(Milestones!$C$6,7,1),2)+1+23)=7,DATE(Milestones!$C$6,7,1)-WEEKDAY(DATE(Milestones!$C$6,7,1),2)+1+23,"")</x:f>
        <x:v>46589</x:v>
      </x:c>
      <x:c r="E28" s="34" t="n">
        <x:f>IF(MONTH(DATE(Milestones!$C$6,7,1)-WEEKDAY(DATE(Milestones!$C$6,7,1),2)+1+24)=7,DATE(Milestones!$C$6,7,1)-WEEKDAY(DATE(Milestones!$C$6,7,1),2)+1+24,"")</x:f>
        <x:v>46590</x:v>
      </x:c>
      <x:c r="F28" s="34" t="n">
        <x:f>IF(MONTH(DATE(Milestones!$C$6,7,1)-WEEKDAY(DATE(Milestones!$C$6,7,1),2)+1+25)=7,DATE(Milestones!$C$6,7,1)-WEEKDAY(DATE(Milestones!$C$6,7,1),2)+1+25,"")</x:f>
        <x:v>46591</x:v>
      </x:c>
      <x:c r="G28" s="34" t="n">
        <x:f>IF(MONTH(DATE(Milestones!$C$6,7,1)-WEEKDAY(DATE(Milestones!$C$6,7,1),2)+1+26)=7,DATE(Milestones!$C$6,7,1)-WEEKDAY(DATE(Milestones!$C$6,7,1),2)+1+26,"")</x:f>
        <x:v>46592</x:v>
      </x:c>
      <x:c r="H28" s="34" t="n">
        <x:f>IF(MONTH(DATE(Milestones!$C$6,7,1)-WEEKDAY(DATE(Milestones!$C$6,7,1),2)+1+27)=7,DATE(Milestones!$C$6,7,1)-WEEKDAY(DATE(Milestones!$C$6,7,1),2)+1+27,"")</x:f>
        <x:v>46593</x:v>
      </x:c>
      <x:c r="I28" s="3"/>
      <x:c r="J28" s="34" t="n">
        <x:f>IF(MONTH(DATE(Milestones!$C$6,8,1)-WEEKDAY(DATE(Milestones!$C$6,8,1),2)+1+21)=8,DATE(Milestones!$C$6,8,1)-WEEKDAY(DATE(Milestones!$C$6,8,1),2)+1+21,"")</x:f>
        <x:v>46615</x:v>
      </x:c>
      <x:c r="K28" s="34" t="n">
        <x:f>IF(MONTH(DATE(Milestones!$C$6,8,1)-WEEKDAY(DATE(Milestones!$C$6,8,1),2)+1+22)=8,DATE(Milestones!$C$6,8,1)-WEEKDAY(DATE(Milestones!$C$6,8,1),2)+1+22,"")</x:f>
        <x:v>46616</x:v>
      </x:c>
      <x:c r="L28" s="34" t="n">
        <x:f>IF(MONTH(DATE(Milestones!$C$6,8,1)-WEEKDAY(DATE(Milestones!$C$6,8,1),2)+1+23)=8,DATE(Milestones!$C$6,8,1)-WEEKDAY(DATE(Milestones!$C$6,8,1),2)+1+23,"")</x:f>
        <x:v>46617</x:v>
      </x:c>
      <x:c r="M28" s="34" t="n">
        <x:f>IF(MONTH(DATE(Milestones!$C$6,8,1)-WEEKDAY(DATE(Milestones!$C$6,8,1),2)+1+24)=8,DATE(Milestones!$C$6,8,1)-WEEKDAY(DATE(Milestones!$C$6,8,1),2)+1+24,"")</x:f>
        <x:v>46618</x:v>
      </x:c>
      <x:c r="N28" s="34" t="n">
        <x:f>IF(MONTH(DATE(Milestones!$C$6,8,1)-WEEKDAY(DATE(Milestones!$C$6,8,1),2)+1+25)=8,DATE(Milestones!$C$6,8,1)-WEEKDAY(DATE(Milestones!$C$6,8,1),2)+1+25,"")</x:f>
        <x:v>46619</x:v>
      </x:c>
      <x:c r="O28" s="34" t="n">
        <x:f>IF(MONTH(DATE(Milestones!$C$6,8,1)-WEEKDAY(DATE(Milestones!$C$6,8,1),2)+1+26)=8,DATE(Milestones!$C$6,8,1)-WEEKDAY(DATE(Milestones!$C$6,8,1),2)+1+26,"")</x:f>
        <x:v>46620</x:v>
      </x:c>
      <x:c r="P28" s="34" t="n">
        <x:f>IF(MONTH(DATE(Milestones!$C$6,8,1)-WEEKDAY(DATE(Milestones!$C$6,8,1),2)+1+27)=8,DATE(Milestones!$C$6,8,1)-WEEKDAY(DATE(Milestones!$C$6,8,1),2)+1+27,"")</x:f>
        <x:v>46621</x:v>
      </x:c>
      <x:c r="Q28" s="3"/>
      <x:c r="R28" s="34" t="n">
        <x:f>IF(MONTH(DATE(Milestones!$C$6,9,1)-WEEKDAY(DATE(Milestones!$C$6,9,1),2)+1+21)=9,DATE(Milestones!$C$6,9,1)-WEEKDAY(DATE(Milestones!$C$6,9,1),2)+1+21,"")</x:f>
        <x:v>46650</x:v>
      </x:c>
      <x:c r="S28" s="34" t="n">
        <x:f>IF(MONTH(DATE(Milestones!$C$6,9,1)-WEEKDAY(DATE(Milestones!$C$6,9,1),2)+1+22)=9,DATE(Milestones!$C$6,9,1)-WEEKDAY(DATE(Milestones!$C$6,9,1),2)+1+22,"")</x:f>
        <x:v>46651</x:v>
      </x:c>
      <x:c r="T28" s="34" t="n">
        <x:f>IF(MONTH(DATE(Milestones!$C$6,9,1)-WEEKDAY(DATE(Milestones!$C$6,9,1),2)+1+23)=9,DATE(Milestones!$C$6,9,1)-WEEKDAY(DATE(Milestones!$C$6,9,1),2)+1+23,"")</x:f>
        <x:v>46652</x:v>
      </x:c>
      <x:c r="U28" s="34" t="n">
        <x:f>IF(MONTH(DATE(Milestones!$C$6,9,1)-WEEKDAY(DATE(Milestones!$C$6,9,1),2)+1+24)=9,DATE(Milestones!$C$6,9,1)-WEEKDAY(DATE(Milestones!$C$6,9,1),2)+1+24,"")</x:f>
        <x:v>46653</x:v>
      </x:c>
      <x:c r="V28" s="34" t="n">
        <x:f>IF(MONTH(DATE(Milestones!$C$6,9,1)-WEEKDAY(DATE(Milestones!$C$6,9,1),2)+1+25)=9,DATE(Milestones!$C$6,9,1)-WEEKDAY(DATE(Milestones!$C$6,9,1),2)+1+25,"")</x:f>
        <x:v>46654</x:v>
      </x:c>
      <x:c r="W28" s="34" t="n">
        <x:f>IF(MONTH(DATE(Milestones!$C$6,9,1)-WEEKDAY(DATE(Milestones!$C$6,9,1),2)+1+26)=9,DATE(Milestones!$C$6,9,1)-WEEKDAY(DATE(Milestones!$C$6,9,1),2)+1+26,"")</x:f>
        <x:v>46655</x:v>
      </x:c>
      <x:c r="X28" s="34" t="n">
        <x:f>IF(MONTH(DATE(Milestones!$C$6,9,1)-WEEKDAY(DATE(Milestones!$C$6,9,1),2)+1+27)=9,DATE(Milestones!$C$6,9,1)-WEEKDAY(DATE(Milestones!$C$6,9,1),2)+1+27,"")</x:f>
        <x:v>46656</x:v>
      </x:c>
    </x:row>
    <x:row r="29" ht="23" customHeight="1">
      <x:c r="A29" s="3"/>
      <x:c r="B29" s="34" t="n">
        <x:f>IF(MONTH(DATE(Milestones!$C$6,7,1)-WEEKDAY(DATE(Milestones!$C$6,7,1),2)+1+28)=7,DATE(Milestones!$C$6,7,1)-WEEKDAY(DATE(Milestones!$C$6,7,1),2)+1+28,"")</x:f>
        <x:v>46594</x:v>
      </x:c>
      <x:c r="C29" s="34" t="n">
        <x:f>IF(MONTH(DATE(Milestones!$C$6,7,1)-WEEKDAY(DATE(Milestones!$C$6,7,1),2)+1+29)=7,DATE(Milestones!$C$6,7,1)-WEEKDAY(DATE(Milestones!$C$6,7,1),2)+1+29,"")</x:f>
        <x:v>46595</x:v>
      </x:c>
      <x:c r="D29" s="34" t="n">
        <x:f>IF(MONTH(DATE(Milestones!$C$6,7,1)-WEEKDAY(DATE(Milestones!$C$6,7,1),2)+1+30)=7,DATE(Milestones!$C$6,7,1)-WEEKDAY(DATE(Milestones!$C$6,7,1),2)+1+30,"")</x:f>
        <x:v>46596</x:v>
      </x:c>
      <x:c r="E29" s="34" t="n">
        <x:f>IF(MONTH(DATE(Milestones!$C$6,7,1)-WEEKDAY(DATE(Milestones!$C$6,7,1),2)+1+31)=7,DATE(Milestones!$C$6,7,1)-WEEKDAY(DATE(Milestones!$C$6,7,1),2)+1+31,"")</x:f>
        <x:v>46597</x:v>
      </x:c>
      <x:c r="F29" s="34" t="n">
        <x:f>IF(MONTH(DATE(Milestones!$C$6,7,1)-WEEKDAY(DATE(Milestones!$C$6,7,1),2)+1+32)=7,DATE(Milestones!$C$6,7,1)-WEEKDAY(DATE(Milestones!$C$6,7,1),2)+1+32,"")</x:f>
        <x:v>46598</x:v>
      </x:c>
      <x:c r="G29" s="34" t="n">
        <x:f>IF(MONTH(DATE(Milestones!$C$6,7,1)-WEEKDAY(DATE(Milestones!$C$6,7,1),2)+1+33)=7,DATE(Milestones!$C$6,7,1)-WEEKDAY(DATE(Milestones!$C$6,7,1),2)+1+33,"")</x:f>
        <x:v>46599</x:v>
      </x:c>
      <x:c r="H29" s="34" t="str">
        <x:f>IF(MONTH(DATE(Milestones!$C$6,7,1)-WEEKDAY(DATE(Milestones!$C$6,7,1),2)+1+34)=7,DATE(Milestones!$C$6,7,1)-WEEKDAY(DATE(Milestones!$C$6,7,1),2)+1+34,"")</x:f>
      </x:c>
      <x:c r="I29" s="3"/>
      <x:c r="J29" s="34" t="n">
        <x:f>IF(MONTH(DATE(Milestones!$C$6,8,1)-WEEKDAY(DATE(Milestones!$C$6,8,1),2)+1+28)=8,DATE(Milestones!$C$6,8,1)-WEEKDAY(DATE(Milestones!$C$6,8,1),2)+1+28,"")</x:f>
        <x:v>46622</x:v>
      </x:c>
      <x:c r="K29" s="34" t="n">
        <x:f>IF(MONTH(DATE(Milestones!$C$6,8,1)-WEEKDAY(DATE(Milestones!$C$6,8,1),2)+1+29)=8,DATE(Milestones!$C$6,8,1)-WEEKDAY(DATE(Milestones!$C$6,8,1),2)+1+29,"")</x:f>
        <x:v>46623</x:v>
      </x:c>
      <x:c r="L29" s="34" t="n">
        <x:f>IF(MONTH(DATE(Milestones!$C$6,8,1)-WEEKDAY(DATE(Milestones!$C$6,8,1),2)+1+30)=8,DATE(Milestones!$C$6,8,1)-WEEKDAY(DATE(Milestones!$C$6,8,1),2)+1+30,"")</x:f>
        <x:v>46624</x:v>
      </x:c>
      <x:c r="M29" s="34" t="n">
        <x:f>IF(MONTH(DATE(Milestones!$C$6,8,1)-WEEKDAY(DATE(Milestones!$C$6,8,1),2)+1+31)=8,DATE(Milestones!$C$6,8,1)-WEEKDAY(DATE(Milestones!$C$6,8,1),2)+1+31,"")</x:f>
        <x:v>46625</x:v>
      </x:c>
      <x:c r="N29" s="34" t="n">
        <x:f>IF(MONTH(DATE(Milestones!$C$6,8,1)-WEEKDAY(DATE(Milestones!$C$6,8,1),2)+1+32)=8,DATE(Milestones!$C$6,8,1)-WEEKDAY(DATE(Milestones!$C$6,8,1),2)+1+32,"")</x:f>
        <x:v>46626</x:v>
      </x:c>
      <x:c r="O29" s="34" t="n">
        <x:f>IF(MONTH(DATE(Milestones!$C$6,8,1)-WEEKDAY(DATE(Milestones!$C$6,8,1),2)+1+33)=8,DATE(Milestones!$C$6,8,1)-WEEKDAY(DATE(Milestones!$C$6,8,1),2)+1+33,"")</x:f>
        <x:v>46627</x:v>
      </x:c>
      <x:c r="P29" s="34" t="n">
        <x:f>IF(MONTH(DATE(Milestones!$C$6,8,1)-WEEKDAY(DATE(Milestones!$C$6,8,1),2)+1+34)=8,DATE(Milestones!$C$6,8,1)-WEEKDAY(DATE(Milestones!$C$6,8,1),2)+1+34,"")</x:f>
        <x:v>46628</x:v>
      </x:c>
      <x:c r="Q29" s="3"/>
      <x:c r="R29" s="34" t="n">
        <x:f>IF(MONTH(DATE(Milestones!$C$6,9,1)-WEEKDAY(DATE(Milestones!$C$6,9,1),2)+1+28)=9,DATE(Milestones!$C$6,9,1)-WEEKDAY(DATE(Milestones!$C$6,9,1),2)+1+28,"")</x:f>
        <x:v>46657</x:v>
      </x:c>
      <x:c r="S29" s="34" t="n">
        <x:f>IF(MONTH(DATE(Milestones!$C$6,9,1)-WEEKDAY(DATE(Milestones!$C$6,9,1),2)+1+29)=9,DATE(Milestones!$C$6,9,1)-WEEKDAY(DATE(Milestones!$C$6,9,1),2)+1+29,"")</x:f>
        <x:v>46658</x:v>
      </x:c>
      <x:c r="T29" s="34" t="n">
        <x:f>IF(MONTH(DATE(Milestones!$C$6,9,1)-WEEKDAY(DATE(Milestones!$C$6,9,1),2)+1+30)=9,DATE(Milestones!$C$6,9,1)-WEEKDAY(DATE(Milestones!$C$6,9,1),2)+1+30,"")</x:f>
        <x:v>46659</x:v>
      </x:c>
      <x:c r="U29" s="34" t="n">
        <x:f>IF(MONTH(DATE(Milestones!$C$6,9,1)-WEEKDAY(DATE(Milestones!$C$6,9,1),2)+1+31)=9,DATE(Milestones!$C$6,9,1)-WEEKDAY(DATE(Milestones!$C$6,9,1),2)+1+31,"")</x:f>
        <x:v>46660</x:v>
      </x:c>
      <x:c r="V29" s="34" t="str">
        <x:f>IF(MONTH(DATE(Milestones!$C$6,9,1)-WEEKDAY(DATE(Milestones!$C$6,9,1),2)+1+32)=9,DATE(Milestones!$C$6,9,1)-WEEKDAY(DATE(Milestones!$C$6,9,1),2)+1+32,"")</x:f>
      </x:c>
      <x:c r="W29" s="34" t="str">
        <x:f>IF(MONTH(DATE(Milestones!$C$6,9,1)-WEEKDAY(DATE(Milestones!$C$6,9,1),2)+1+33)=9,DATE(Milestones!$C$6,9,1)-WEEKDAY(DATE(Milestones!$C$6,9,1),2)+1+33,"")</x:f>
      </x:c>
      <x:c r="X29" s="34" t="str">
        <x:f>IF(MONTH(DATE(Milestones!$C$6,9,1)-WEEKDAY(DATE(Milestones!$C$6,9,1),2)+1+34)=9,DATE(Milestones!$C$6,9,1)-WEEKDAY(DATE(Milestones!$C$6,9,1),2)+1+34,"")</x:f>
      </x:c>
    </x:row>
    <x:row r="30" ht="23" customHeight="1">
      <x:c r="A30" s="3"/>
      <x:c r="B30" s="34" t="str">
        <x:f>IF(MONTH(DATE(Milestones!$C$6,7,1)-WEEKDAY(DATE(Milestones!$C$6,7,1),2)+1+35)=7,DATE(Milestones!$C$6,7,1)-WEEKDAY(DATE(Milestones!$C$6,7,1),2)+1+35,"")</x:f>
      </x:c>
      <x:c r="C30" s="34" t="str">
        <x:f>IF(MONTH(DATE(Milestones!$C$6,7,1)-WEEKDAY(DATE(Milestones!$C$6,7,1),2)+1+36)=7,DATE(Milestones!$C$6,7,1)-WEEKDAY(DATE(Milestones!$C$6,7,1),2)+1+36,"")</x:f>
      </x:c>
      <x:c r="D30" s="34" t="str">
        <x:f>IF(MONTH(DATE(Milestones!$C$6,7,1)-WEEKDAY(DATE(Milestones!$C$6,7,1),2)+1+37)=7,DATE(Milestones!$C$6,7,1)-WEEKDAY(DATE(Milestones!$C$6,7,1),2)+1+37,"")</x:f>
      </x:c>
      <x:c r="E30" s="34" t="str">
        <x:f>IF(MONTH(DATE(Milestones!$C$6,7,1)-WEEKDAY(DATE(Milestones!$C$6,7,1),2)+1+38)=7,DATE(Milestones!$C$6,7,1)-WEEKDAY(DATE(Milestones!$C$6,7,1),2)+1+38,"")</x:f>
      </x:c>
      <x:c r="F30" s="34" t="str">
        <x:f>IF(MONTH(DATE(Milestones!$C$6,7,1)-WEEKDAY(DATE(Milestones!$C$6,7,1),2)+1+39)=7,DATE(Milestones!$C$6,7,1)-WEEKDAY(DATE(Milestones!$C$6,7,1),2)+1+39,"")</x:f>
      </x:c>
      <x:c r="G30" s="34" t="str">
        <x:f>IF(MONTH(DATE(Milestones!$C$6,7,1)-WEEKDAY(DATE(Milestones!$C$6,7,1),2)+1+40)=7,DATE(Milestones!$C$6,7,1)-WEEKDAY(DATE(Milestones!$C$6,7,1),2)+1+40,"")</x:f>
      </x:c>
      <x:c r="H30" s="34" t="str">
        <x:f>IF(MONTH(DATE(Milestones!$C$6,7,1)-WEEKDAY(DATE(Milestones!$C$6,7,1),2)+1+41)=7,DATE(Milestones!$C$6,7,1)-WEEKDAY(DATE(Milestones!$C$6,7,1),2)+1+41,"")</x:f>
      </x:c>
      <x:c r="I30" s="3"/>
      <x:c r="J30" s="34" t="n">
        <x:f>IF(MONTH(DATE(Milestones!$C$6,8,1)-WEEKDAY(DATE(Milestones!$C$6,8,1),2)+1+35)=8,DATE(Milestones!$C$6,8,1)-WEEKDAY(DATE(Milestones!$C$6,8,1),2)+1+35,"")</x:f>
        <x:v>46629</x:v>
      </x:c>
      <x:c r="K30" s="34" t="n">
        <x:f>IF(MONTH(DATE(Milestones!$C$6,8,1)-WEEKDAY(DATE(Milestones!$C$6,8,1),2)+1+36)=8,DATE(Milestones!$C$6,8,1)-WEEKDAY(DATE(Milestones!$C$6,8,1),2)+1+36,"")</x:f>
        <x:v>46630</x:v>
      </x:c>
      <x:c r="L30" s="34" t="str">
        <x:f>IF(MONTH(DATE(Milestones!$C$6,8,1)-WEEKDAY(DATE(Milestones!$C$6,8,1),2)+1+37)=8,DATE(Milestones!$C$6,8,1)-WEEKDAY(DATE(Milestones!$C$6,8,1),2)+1+37,"")</x:f>
      </x:c>
      <x:c r="M30" s="34" t="str">
        <x:f>IF(MONTH(DATE(Milestones!$C$6,8,1)-WEEKDAY(DATE(Milestones!$C$6,8,1),2)+1+38)=8,DATE(Milestones!$C$6,8,1)-WEEKDAY(DATE(Milestones!$C$6,8,1),2)+1+38,"")</x:f>
      </x:c>
      <x:c r="N30" s="34" t="str">
        <x:f>IF(MONTH(DATE(Milestones!$C$6,8,1)-WEEKDAY(DATE(Milestones!$C$6,8,1),2)+1+39)=8,DATE(Milestones!$C$6,8,1)-WEEKDAY(DATE(Milestones!$C$6,8,1),2)+1+39,"")</x:f>
      </x:c>
      <x:c r="O30" s="34" t="str">
        <x:f>IF(MONTH(DATE(Milestones!$C$6,8,1)-WEEKDAY(DATE(Milestones!$C$6,8,1),2)+1+40)=8,DATE(Milestones!$C$6,8,1)-WEEKDAY(DATE(Milestones!$C$6,8,1),2)+1+40,"")</x:f>
      </x:c>
      <x:c r="P30" s="34" t="str">
        <x:f>IF(MONTH(DATE(Milestones!$C$6,8,1)-WEEKDAY(DATE(Milestones!$C$6,8,1),2)+1+41)=8,DATE(Milestones!$C$6,8,1)-WEEKDAY(DATE(Milestones!$C$6,8,1),2)+1+41,"")</x:f>
      </x:c>
      <x:c r="Q30" s="3"/>
      <x:c r="R30" s="34" t="str">
        <x:f>IF(MONTH(DATE(Milestones!$C$6,9,1)-WEEKDAY(DATE(Milestones!$C$6,9,1),2)+1+35)=9,DATE(Milestones!$C$6,9,1)-WEEKDAY(DATE(Milestones!$C$6,9,1),2)+1+35,"")</x:f>
      </x:c>
      <x:c r="S30" s="34" t="str">
        <x:f>IF(MONTH(DATE(Milestones!$C$6,9,1)-WEEKDAY(DATE(Milestones!$C$6,9,1),2)+1+36)=9,DATE(Milestones!$C$6,9,1)-WEEKDAY(DATE(Milestones!$C$6,9,1),2)+1+36,"")</x:f>
      </x:c>
      <x:c r="T30" s="34" t="str">
        <x:f>IF(MONTH(DATE(Milestones!$C$6,9,1)-WEEKDAY(DATE(Milestones!$C$6,9,1),2)+1+37)=9,DATE(Milestones!$C$6,9,1)-WEEKDAY(DATE(Milestones!$C$6,9,1),2)+1+37,"")</x:f>
      </x:c>
      <x:c r="U30" s="34" t="str">
        <x:f>IF(MONTH(DATE(Milestones!$C$6,9,1)-WEEKDAY(DATE(Milestones!$C$6,9,1),2)+1+38)=9,DATE(Milestones!$C$6,9,1)-WEEKDAY(DATE(Milestones!$C$6,9,1),2)+1+38,"")</x:f>
      </x:c>
      <x:c r="V30" s="34" t="str">
        <x:f>IF(MONTH(DATE(Milestones!$C$6,9,1)-WEEKDAY(DATE(Milestones!$C$6,9,1),2)+1+39)=9,DATE(Milestones!$C$6,9,1)-WEEKDAY(DATE(Milestones!$C$6,9,1),2)+1+39,"")</x:f>
      </x:c>
      <x:c r="W30" s="34" t="str">
        <x:f>IF(MONTH(DATE(Milestones!$C$6,9,1)-WEEKDAY(DATE(Milestones!$C$6,9,1),2)+1+40)=9,DATE(Milestones!$C$6,9,1)-WEEKDAY(DATE(Milestones!$C$6,9,1),2)+1+40,"")</x:f>
      </x:c>
      <x:c r="X30" s="34" t="str">
        <x:f>IF(MONTH(DATE(Milestones!$C$6,9,1)-WEEKDAY(DATE(Milestones!$C$6,9,1),2)+1+41)=9,DATE(Milestones!$C$6,9,1)-WEEKDAY(DATE(Milestones!$C$6,9,1),2)+1+41,"")</x:f>
      </x:c>
    </x:row>
    <x:row r="31" ht="23" customHeight="1">
      <x:c r="A31" s="3"/>
      <x:c r="B31" s="11" t="str">
        <x:v>OCTOBER</x:v>
      </x:c>
      <x:c r="C31" s="11" t="str">
        <x:v>OCTOBER</x:v>
      </x:c>
      <x:c r="D31" s="11" t="str">
        <x:v>OCTOBER</x:v>
      </x:c>
      <x:c r="E31" s="11" t="str">
        <x:v>OCTOBER</x:v>
      </x:c>
      <x:c r="F31" s="11" t="str">
        <x:v>OCTOBER</x:v>
      </x:c>
      <x:c r="G31" s="11" t="str">
        <x:v>OCTOBER</x:v>
      </x:c>
      <x:c r="H31" s="11" t="str">
        <x:v>OCTOBER</x:v>
      </x:c>
      <x:c r="I31" s="3"/>
      <x:c r="J31" s="11" t="str">
        <x:v>NOVEMBER</x:v>
      </x:c>
      <x:c r="K31" s="11" t="str">
        <x:v>NOVEMBER</x:v>
      </x:c>
      <x:c r="L31" s="11" t="str">
        <x:v>NOVEMBER</x:v>
      </x:c>
      <x:c r="M31" s="11" t="str">
        <x:v>NOVEMBER</x:v>
      </x:c>
      <x:c r="N31" s="11" t="str">
        <x:v>NOVEMBER</x:v>
      </x:c>
      <x:c r="O31" s="11" t="str">
        <x:v>NOVEMBER</x:v>
      </x:c>
      <x:c r="P31" s="11" t="str">
        <x:v>NOVEMBER</x:v>
      </x:c>
      <x:c r="Q31" s="3"/>
      <x:c r="R31" s="11" t="str">
        <x:v>DECEMBER</x:v>
      </x:c>
      <x:c r="S31" s="11" t="str">
        <x:v>DECEMBER</x:v>
      </x:c>
      <x:c r="T31" s="11" t="str">
        <x:v>DECEMBER</x:v>
      </x:c>
      <x:c r="U31" s="11" t="str">
        <x:v>DECEMBER</x:v>
      </x:c>
      <x:c r="V31" s="11" t="str">
        <x:v>DECEMBER</x:v>
      </x:c>
      <x:c r="W31" s="11" t="str">
        <x:v>DECEMBER</x:v>
      </x:c>
      <x:c r="X31" s="11" t="str">
        <x:v>DECEMBER</x:v>
      </x:c>
    </x:row>
    <x:row r="32" ht="23" customHeight="1">
      <x:c r="A32" s="3"/>
      <x:c r="B32" s="3" t="str">
        <x:v>M</x:v>
      </x:c>
      <x:c r="C32" s="3" t="str">
        <x:v>T</x:v>
      </x:c>
      <x:c r="D32" s="3" t="str">
        <x:v>W</x:v>
      </x:c>
      <x:c r="E32" s="3" t="str">
        <x:v>T</x:v>
      </x:c>
      <x:c r="F32" s="3" t="str">
        <x:v>F</x:v>
      </x:c>
      <x:c r="G32" s="3" t="str">
        <x:v>S</x:v>
      </x:c>
      <x:c r="H32" s="3" t="str">
        <x:v>S</x:v>
      </x:c>
      <x:c r="I32" s="3"/>
      <x:c r="J32" s="3" t="str">
        <x:v>M</x:v>
      </x:c>
      <x:c r="K32" s="3" t="str">
        <x:v>T</x:v>
      </x:c>
      <x:c r="L32" s="3" t="str">
        <x:v>W</x:v>
      </x:c>
      <x:c r="M32" s="3" t="str">
        <x:v>T</x:v>
      </x:c>
      <x:c r="N32" s="3" t="str">
        <x:v>F</x:v>
      </x:c>
      <x:c r="O32" s="3" t="str">
        <x:v>S</x:v>
      </x:c>
      <x:c r="P32" s="3" t="str">
        <x:v>S</x:v>
      </x:c>
      <x:c r="Q32" s="3"/>
      <x:c r="R32" s="3" t="str">
        <x:v>M</x:v>
      </x:c>
      <x:c r="S32" s="3" t="str">
        <x:v>T</x:v>
      </x:c>
      <x:c r="T32" s="3" t="str">
        <x:v>W</x:v>
      </x:c>
      <x:c r="U32" s="3" t="str">
        <x:v>T</x:v>
      </x:c>
      <x:c r="V32" s="3" t="str">
        <x:v>F</x:v>
      </x:c>
      <x:c r="W32" s="3" t="str">
        <x:v>S</x:v>
      </x:c>
      <x:c r="X32" s="3" t="str">
        <x:v>S</x:v>
      </x:c>
    </x:row>
    <x:row r="33" ht="23" customHeight="1">
      <x:c r="A33" s="3"/>
      <x:c r="B33" s="34" t="str">
        <x:f>IF(MONTH(DATE(Milestones!$C$6,10,1)-WEEKDAY(DATE(Milestones!$C$6,10,1),2)+1+0)=10,DATE(Milestones!$C$6,10,1)-WEEKDAY(DATE(Milestones!$C$6,10,1),2)+1+0,"")</x:f>
      </x:c>
      <x:c r="C33" s="34" t="str">
        <x:f>IF(MONTH(DATE(Milestones!$C$6,10,1)-WEEKDAY(DATE(Milestones!$C$6,10,1),2)+1+1)=10,DATE(Milestones!$C$6,10,1)-WEEKDAY(DATE(Milestones!$C$6,10,1),2)+1+1,"")</x:f>
      </x:c>
      <x:c r="D33" s="34" t="str">
        <x:f>IF(MONTH(DATE(Milestones!$C$6,10,1)-WEEKDAY(DATE(Milestones!$C$6,10,1),2)+1+2)=10,DATE(Milestones!$C$6,10,1)-WEEKDAY(DATE(Milestones!$C$6,10,1),2)+1+2,"")</x:f>
      </x:c>
      <x:c r="E33" s="34" t="str">
        <x:f>IF(MONTH(DATE(Milestones!$C$6,10,1)-WEEKDAY(DATE(Milestones!$C$6,10,1),2)+1+3)=10,DATE(Milestones!$C$6,10,1)-WEEKDAY(DATE(Milestones!$C$6,10,1),2)+1+3,"")</x:f>
      </x:c>
      <x:c r="F33" s="34" t="n">
        <x:f>IF(MONTH(DATE(Milestones!$C$6,10,1)-WEEKDAY(DATE(Milestones!$C$6,10,1),2)+1+4)=10,DATE(Milestones!$C$6,10,1)-WEEKDAY(DATE(Milestones!$C$6,10,1),2)+1+4,"")</x:f>
        <x:v>46661</x:v>
      </x:c>
      <x:c r="G33" s="34" t="n">
        <x:f>IF(MONTH(DATE(Milestones!$C$6,10,1)-WEEKDAY(DATE(Milestones!$C$6,10,1),2)+1+5)=10,DATE(Milestones!$C$6,10,1)-WEEKDAY(DATE(Milestones!$C$6,10,1),2)+1+5,"")</x:f>
        <x:v>46662</x:v>
      </x:c>
      <x:c r="H33" s="34" t="n">
        <x:f>IF(MONTH(DATE(Milestones!$C$6,10,1)-WEEKDAY(DATE(Milestones!$C$6,10,1),2)+1+6)=10,DATE(Milestones!$C$6,10,1)-WEEKDAY(DATE(Milestones!$C$6,10,1),2)+1+6,"")</x:f>
        <x:v>46663</x:v>
      </x:c>
      <x:c r="I33" s="3"/>
      <x:c r="J33" s="34" t="n">
        <x:f>IF(MONTH(DATE(Milestones!$C$6,11,1)-WEEKDAY(DATE(Milestones!$C$6,11,1),2)+1+0)=11,DATE(Milestones!$C$6,11,1)-WEEKDAY(DATE(Milestones!$C$6,11,1),2)+1+0,"")</x:f>
        <x:v>46692</x:v>
      </x:c>
      <x:c r="K33" s="34" t="n">
        <x:f>IF(MONTH(DATE(Milestones!$C$6,11,1)-WEEKDAY(DATE(Milestones!$C$6,11,1),2)+1+1)=11,DATE(Milestones!$C$6,11,1)-WEEKDAY(DATE(Milestones!$C$6,11,1),2)+1+1,"")</x:f>
        <x:v>46693</x:v>
      </x:c>
      <x:c r="L33" s="34" t="n">
        <x:f>IF(MONTH(DATE(Milestones!$C$6,11,1)-WEEKDAY(DATE(Milestones!$C$6,11,1),2)+1+2)=11,DATE(Milestones!$C$6,11,1)-WEEKDAY(DATE(Milestones!$C$6,11,1),2)+1+2,"")</x:f>
        <x:v>46694</x:v>
      </x:c>
      <x:c r="M33" s="34" t="n">
        <x:f>IF(MONTH(DATE(Milestones!$C$6,11,1)-WEEKDAY(DATE(Milestones!$C$6,11,1),2)+1+3)=11,DATE(Milestones!$C$6,11,1)-WEEKDAY(DATE(Milestones!$C$6,11,1),2)+1+3,"")</x:f>
        <x:v>46695</x:v>
      </x:c>
      <x:c r="N33" s="34" t="n">
        <x:f>IF(MONTH(DATE(Milestones!$C$6,11,1)-WEEKDAY(DATE(Milestones!$C$6,11,1),2)+1+4)=11,DATE(Milestones!$C$6,11,1)-WEEKDAY(DATE(Milestones!$C$6,11,1),2)+1+4,"")</x:f>
        <x:v>46696</x:v>
      </x:c>
      <x:c r="O33" s="34" t="n">
        <x:f>IF(MONTH(DATE(Milestones!$C$6,11,1)-WEEKDAY(DATE(Milestones!$C$6,11,1),2)+1+5)=11,DATE(Milestones!$C$6,11,1)-WEEKDAY(DATE(Milestones!$C$6,11,1),2)+1+5,"")</x:f>
        <x:v>46697</x:v>
      </x:c>
      <x:c r="P33" s="34" t="n">
        <x:f>IF(MONTH(DATE(Milestones!$C$6,11,1)-WEEKDAY(DATE(Milestones!$C$6,11,1),2)+1+6)=11,DATE(Milestones!$C$6,11,1)-WEEKDAY(DATE(Milestones!$C$6,11,1),2)+1+6,"")</x:f>
        <x:v>46698</x:v>
      </x:c>
      <x:c r="Q33" s="3"/>
      <x:c r="R33" s="34" t="str">
        <x:f>IF(MONTH(DATE(Milestones!$C$6,12,1)-WEEKDAY(DATE(Milestones!$C$6,12,1),2)+1+0)=12,DATE(Milestones!$C$6,12,1)-WEEKDAY(DATE(Milestones!$C$6,12,1),2)+1+0,"")</x:f>
      </x:c>
      <x:c r="S33" s="34" t="str">
        <x:f>IF(MONTH(DATE(Milestones!$C$6,12,1)-WEEKDAY(DATE(Milestones!$C$6,12,1),2)+1+1)=12,DATE(Milestones!$C$6,12,1)-WEEKDAY(DATE(Milestones!$C$6,12,1),2)+1+1,"")</x:f>
      </x:c>
      <x:c r="T33" s="34" t="n">
        <x:f>IF(MONTH(DATE(Milestones!$C$6,12,1)-WEEKDAY(DATE(Milestones!$C$6,12,1),2)+1+2)=12,DATE(Milestones!$C$6,12,1)-WEEKDAY(DATE(Milestones!$C$6,12,1),2)+1+2,"")</x:f>
        <x:v>46722</x:v>
      </x:c>
      <x:c r="U33" s="34" t="n">
        <x:f>IF(MONTH(DATE(Milestones!$C$6,12,1)-WEEKDAY(DATE(Milestones!$C$6,12,1),2)+1+3)=12,DATE(Milestones!$C$6,12,1)-WEEKDAY(DATE(Milestones!$C$6,12,1),2)+1+3,"")</x:f>
        <x:v>46723</x:v>
      </x:c>
      <x:c r="V33" s="34" t="n">
        <x:f>IF(MONTH(DATE(Milestones!$C$6,12,1)-WEEKDAY(DATE(Milestones!$C$6,12,1),2)+1+4)=12,DATE(Milestones!$C$6,12,1)-WEEKDAY(DATE(Milestones!$C$6,12,1),2)+1+4,"")</x:f>
        <x:v>46724</x:v>
      </x:c>
      <x:c r="W33" s="34" t="n">
        <x:f>IF(MONTH(DATE(Milestones!$C$6,12,1)-WEEKDAY(DATE(Milestones!$C$6,12,1),2)+1+5)=12,DATE(Milestones!$C$6,12,1)-WEEKDAY(DATE(Milestones!$C$6,12,1),2)+1+5,"")</x:f>
        <x:v>46725</x:v>
      </x:c>
      <x:c r="X33" s="34" t="n">
        <x:f>IF(MONTH(DATE(Milestones!$C$6,12,1)-WEEKDAY(DATE(Milestones!$C$6,12,1),2)+1+6)=12,DATE(Milestones!$C$6,12,1)-WEEKDAY(DATE(Milestones!$C$6,12,1),2)+1+6,"")</x:f>
        <x:v>46726</x:v>
      </x:c>
    </x:row>
    <x:row r="34" ht="23" customHeight="1">
      <x:c r="A34" s="3"/>
      <x:c r="B34" s="34" t="n">
        <x:f>IF(MONTH(DATE(Milestones!$C$6,10,1)-WEEKDAY(DATE(Milestones!$C$6,10,1),2)+1+7)=10,DATE(Milestones!$C$6,10,1)-WEEKDAY(DATE(Milestones!$C$6,10,1),2)+1+7,"")</x:f>
        <x:v>46664</x:v>
      </x:c>
      <x:c r="C34" s="34" t="n">
        <x:f>IF(MONTH(DATE(Milestones!$C$6,10,1)-WEEKDAY(DATE(Milestones!$C$6,10,1),2)+1+8)=10,DATE(Milestones!$C$6,10,1)-WEEKDAY(DATE(Milestones!$C$6,10,1),2)+1+8,"")</x:f>
        <x:v>46665</x:v>
      </x:c>
      <x:c r="D34" s="34" t="n">
        <x:f>IF(MONTH(DATE(Milestones!$C$6,10,1)-WEEKDAY(DATE(Milestones!$C$6,10,1),2)+1+9)=10,DATE(Milestones!$C$6,10,1)-WEEKDAY(DATE(Milestones!$C$6,10,1),2)+1+9,"")</x:f>
        <x:v>46666</x:v>
      </x:c>
      <x:c r="E34" s="34" t="n">
        <x:f>IF(MONTH(DATE(Milestones!$C$6,10,1)-WEEKDAY(DATE(Milestones!$C$6,10,1),2)+1+10)=10,DATE(Milestones!$C$6,10,1)-WEEKDAY(DATE(Milestones!$C$6,10,1),2)+1+10,"")</x:f>
        <x:v>46667</x:v>
      </x:c>
      <x:c r="F34" s="34" t="n">
        <x:f>IF(MONTH(DATE(Milestones!$C$6,10,1)-WEEKDAY(DATE(Milestones!$C$6,10,1),2)+1+11)=10,DATE(Milestones!$C$6,10,1)-WEEKDAY(DATE(Milestones!$C$6,10,1),2)+1+11,"")</x:f>
        <x:v>46668</x:v>
      </x:c>
      <x:c r="G34" s="34" t="n">
        <x:f>IF(MONTH(DATE(Milestones!$C$6,10,1)-WEEKDAY(DATE(Milestones!$C$6,10,1),2)+1+12)=10,DATE(Milestones!$C$6,10,1)-WEEKDAY(DATE(Milestones!$C$6,10,1),2)+1+12,"")</x:f>
        <x:v>46669</x:v>
      </x:c>
      <x:c r="H34" s="34" t="n">
        <x:f>IF(MONTH(DATE(Milestones!$C$6,10,1)-WEEKDAY(DATE(Milestones!$C$6,10,1),2)+1+13)=10,DATE(Milestones!$C$6,10,1)-WEEKDAY(DATE(Milestones!$C$6,10,1),2)+1+13,"")</x:f>
        <x:v>46670</x:v>
      </x:c>
      <x:c r="I34" s="3"/>
      <x:c r="J34" s="34" t="n">
        <x:f>IF(MONTH(DATE(Milestones!$C$6,11,1)-WEEKDAY(DATE(Milestones!$C$6,11,1),2)+1+7)=11,DATE(Milestones!$C$6,11,1)-WEEKDAY(DATE(Milestones!$C$6,11,1),2)+1+7,"")</x:f>
        <x:v>46699</x:v>
      </x:c>
      <x:c r="K34" s="34" t="n">
        <x:f>IF(MONTH(DATE(Milestones!$C$6,11,1)-WEEKDAY(DATE(Milestones!$C$6,11,1),2)+1+8)=11,DATE(Milestones!$C$6,11,1)-WEEKDAY(DATE(Milestones!$C$6,11,1),2)+1+8,"")</x:f>
        <x:v>46700</x:v>
      </x:c>
      <x:c r="L34" s="34" t="n">
        <x:f>IF(MONTH(DATE(Milestones!$C$6,11,1)-WEEKDAY(DATE(Milestones!$C$6,11,1),2)+1+9)=11,DATE(Milestones!$C$6,11,1)-WEEKDAY(DATE(Milestones!$C$6,11,1),2)+1+9,"")</x:f>
        <x:v>46701</x:v>
      </x:c>
      <x:c r="M34" s="34" t="n">
        <x:f>IF(MONTH(DATE(Milestones!$C$6,11,1)-WEEKDAY(DATE(Milestones!$C$6,11,1),2)+1+10)=11,DATE(Milestones!$C$6,11,1)-WEEKDAY(DATE(Milestones!$C$6,11,1),2)+1+10,"")</x:f>
        <x:v>46702</x:v>
      </x:c>
      <x:c r="N34" s="34" t="n">
        <x:f>IF(MONTH(DATE(Milestones!$C$6,11,1)-WEEKDAY(DATE(Milestones!$C$6,11,1),2)+1+11)=11,DATE(Milestones!$C$6,11,1)-WEEKDAY(DATE(Milestones!$C$6,11,1),2)+1+11,"")</x:f>
        <x:v>46703</x:v>
      </x:c>
      <x:c r="O34" s="34" t="n">
        <x:f>IF(MONTH(DATE(Milestones!$C$6,11,1)-WEEKDAY(DATE(Milestones!$C$6,11,1),2)+1+12)=11,DATE(Milestones!$C$6,11,1)-WEEKDAY(DATE(Milestones!$C$6,11,1),2)+1+12,"")</x:f>
        <x:v>46704</x:v>
      </x:c>
      <x:c r="P34" s="34" t="n">
        <x:f>IF(MONTH(DATE(Milestones!$C$6,11,1)-WEEKDAY(DATE(Milestones!$C$6,11,1),2)+1+13)=11,DATE(Milestones!$C$6,11,1)-WEEKDAY(DATE(Milestones!$C$6,11,1),2)+1+13,"")</x:f>
        <x:v>46705</x:v>
      </x:c>
      <x:c r="Q34" s="3"/>
      <x:c r="R34" s="34" t="n">
        <x:f>IF(MONTH(DATE(Milestones!$C$6,12,1)-WEEKDAY(DATE(Milestones!$C$6,12,1),2)+1+7)=12,DATE(Milestones!$C$6,12,1)-WEEKDAY(DATE(Milestones!$C$6,12,1),2)+1+7,"")</x:f>
        <x:v>46727</x:v>
      </x:c>
      <x:c r="S34" s="34" t="n">
        <x:f>IF(MONTH(DATE(Milestones!$C$6,12,1)-WEEKDAY(DATE(Milestones!$C$6,12,1),2)+1+8)=12,DATE(Milestones!$C$6,12,1)-WEEKDAY(DATE(Milestones!$C$6,12,1),2)+1+8,"")</x:f>
        <x:v>46728</x:v>
      </x:c>
      <x:c r="T34" s="34" t="n">
        <x:f>IF(MONTH(DATE(Milestones!$C$6,12,1)-WEEKDAY(DATE(Milestones!$C$6,12,1),2)+1+9)=12,DATE(Milestones!$C$6,12,1)-WEEKDAY(DATE(Milestones!$C$6,12,1),2)+1+9,"")</x:f>
        <x:v>46729</x:v>
      </x:c>
      <x:c r="U34" s="34" t="n">
        <x:f>IF(MONTH(DATE(Milestones!$C$6,12,1)-WEEKDAY(DATE(Milestones!$C$6,12,1),2)+1+10)=12,DATE(Milestones!$C$6,12,1)-WEEKDAY(DATE(Milestones!$C$6,12,1),2)+1+10,"")</x:f>
        <x:v>46730</x:v>
      </x:c>
      <x:c r="V34" s="34" t="n">
        <x:f>IF(MONTH(DATE(Milestones!$C$6,12,1)-WEEKDAY(DATE(Milestones!$C$6,12,1),2)+1+11)=12,DATE(Milestones!$C$6,12,1)-WEEKDAY(DATE(Milestones!$C$6,12,1),2)+1+11,"")</x:f>
        <x:v>46731</x:v>
      </x:c>
      <x:c r="W34" s="34" t="n">
        <x:f>IF(MONTH(DATE(Milestones!$C$6,12,1)-WEEKDAY(DATE(Milestones!$C$6,12,1),2)+1+12)=12,DATE(Milestones!$C$6,12,1)-WEEKDAY(DATE(Milestones!$C$6,12,1),2)+1+12,"")</x:f>
        <x:v>46732</x:v>
      </x:c>
      <x:c r="X34" s="34" t="n">
        <x:f>IF(MONTH(DATE(Milestones!$C$6,12,1)-WEEKDAY(DATE(Milestones!$C$6,12,1),2)+1+13)=12,DATE(Milestones!$C$6,12,1)-WEEKDAY(DATE(Milestones!$C$6,12,1),2)+1+13,"")</x:f>
        <x:v>46733</x:v>
      </x:c>
    </x:row>
    <x:row r="35" ht="23" customHeight="1">
      <x:c r="A35" s="3"/>
      <x:c r="B35" s="34" t="n">
        <x:f>IF(MONTH(DATE(Milestones!$C$6,10,1)-WEEKDAY(DATE(Milestones!$C$6,10,1),2)+1+14)=10,DATE(Milestones!$C$6,10,1)-WEEKDAY(DATE(Milestones!$C$6,10,1),2)+1+14,"")</x:f>
        <x:v>46671</x:v>
      </x:c>
      <x:c r="C35" s="34" t="n">
        <x:f>IF(MONTH(DATE(Milestones!$C$6,10,1)-WEEKDAY(DATE(Milestones!$C$6,10,1),2)+1+15)=10,DATE(Milestones!$C$6,10,1)-WEEKDAY(DATE(Milestones!$C$6,10,1),2)+1+15,"")</x:f>
        <x:v>46672</x:v>
      </x:c>
      <x:c r="D35" s="34" t="n">
        <x:f>IF(MONTH(DATE(Milestones!$C$6,10,1)-WEEKDAY(DATE(Milestones!$C$6,10,1),2)+1+16)=10,DATE(Milestones!$C$6,10,1)-WEEKDAY(DATE(Milestones!$C$6,10,1),2)+1+16,"")</x:f>
        <x:v>46673</x:v>
      </x:c>
      <x:c r="E35" s="34" t="n">
        <x:f>IF(MONTH(DATE(Milestones!$C$6,10,1)-WEEKDAY(DATE(Milestones!$C$6,10,1),2)+1+17)=10,DATE(Milestones!$C$6,10,1)-WEEKDAY(DATE(Milestones!$C$6,10,1),2)+1+17,"")</x:f>
        <x:v>46674</x:v>
      </x:c>
      <x:c r="F35" s="34" t="n">
        <x:f>IF(MONTH(DATE(Milestones!$C$6,10,1)-WEEKDAY(DATE(Milestones!$C$6,10,1),2)+1+18)=10,DATE(Milestones!$C$6,10,1)-WEEKDAY(DATE(Milestones!$C$6,10,1),2)+1+18,"")</x:f>
        <x:v>46675</x:v>
      </x:c>
      <x:c r="G35" s="34" t="n">
        <x:f>IF(MONTH(DATE(Milestones!$C$6,10,1)-WEEKDAY(DATE(Milestones!$C$6,10,1),2)+1+19)=10,DATE(Milestones!$C$6,10,1)-WEEKDAY(DATE(Milestones!$C$6,10,1),2)+1+19,"")</x:f>
        <x:v>46676</x:v>
      </x:c>
      <x:c r="H35" s="34" t="n">
        <x:f>IF(MONTH(DATE(Milestones!$C$6,10,1)-WEEKDAY(DATE(Milestones!$C$6,10,1),2)+1+20)=10,DATE(Milestones!$C$6,10,1)-WEEKDAY(DATE(Milestones!$C$6,10,1),2)+1+20,"")</x:f>
        <x:v>46677</x:v>
      </x:c>
      <x:c r="I35" s="3"/>
      <x:c r="J35" s="34" t="n">
        <x:f>IF(MONTH(DATE(Milestones!$C$6,11,1)-WEEKDAY(DATE(Milestones!$C$6,11,1),2)+1+14)=11,DATE(Milestones!$C$6,11,1)-WEEKDAY(DATE(Milestones!$C$6,11,1),2)+1+14,"")</x:f>
        <x:v>46706</x:v>
      </x:c>
      <x:c r="K35" s="34" t="n">
        <x:f>IF(MONTH(DATE(Milestones!$C$6,11,1)-WEEKDAY(DATE(Milestones!$C$6,11,1),2)+1+15)=11,DATE(Milestones!$C$6,11,1)-WEEKDAY(DATE(Milestones!$C$6,11,1),2)+1+15,"")</x:f>
        <x:v>46707</x:v>
      </x:c>
      <x:c r="L35" s="34" t="n">
        <x:f>IF(MONTH(DATE(Milestones!$C$6,11,1)-WEEKDAY(DATE(Milestones!$C$6,11,1),2)+1+16)=11,DATE(Milestones!$C$6,11,1)-WEEKDAY(DATE(Milestones!$C$6,11,1),2)+1+16,"")</x:f>
        <x:v>46708</x:v>
      </x:c>
      <x:c r="M35" s="34" t="n">
        <x:f>IF(MONTH(DATE(Milestones!$C$6,11,1)-WEEKDAY(DATE(Milestones!$C$6,11,1),2)+1+17)=11,DATE(Milestones!$C$6,11,1)-WEEKDAY(DATE(Milestones!$C$6,11,1),2)+1+17,"")</x:f>
        <x:v>46709</x:v>
      </x:c>
      <x:c r="N35" s="34" t="n">
        <x:f>IF(MONTH(DATE(Milestones!$C$6,11,1)-WEEKDAY(DATE(Milestones!$C$6,11,1),2)+1+18)=11,DATE(Milestones!$C$6,11,1)-WEEKDAY(DATE(Milestones!$C$6,11,1),2)+1+18,"")</x:f>
        <x:v>46710</x:v>
      </x:c>
      <x:c r="O35" s="34" t="n">
        <x:f>IF(MONTH(DATE(Milestones!$C$6,11,1)-WEEKDAY(DATE(Milestones!$C$6,11,1),2)+1+19)=11,DATE(Milestones!$C$6,11,1)-WEEKDAY(DATE(Milestones!$C$6,11,1),2)+1+19,"")</x:f>
        <x:v>46711</x:v>
      </x:c>
      <x:c r="P35" s="34" t="n">
        <x:f>IF(MONTH(DATE(Milestones!$C$6,11,1)-WEEKDAY(DATE(Milestones!$C$6,11,1),2)+1+20)=11,DATE(Milestones!$C$6,11,1)-WEEKDAY(DATE(Milestones!$C$6,11,1),2)+1+20,"")</x:f>
        <x:v>46712</x:v>
      </x:c>
      <x:c r="Q35" s="3"/>
      <x:c r="R35" s="34" t="n">
        <x:f>IF(MONTH(DATE(Milestones!$C$6,12,1)-WEEKDAY(DATE(Milestones!$C$6,12,1),2)+1+14)=12,DATE(Milestones!$C$6,12,1)-WEEKDAY(DATE(Milestones!$C$6,12,1),2)+1+14,"")</x:f>
        <x:v>46734</x:v>
      </x:c>
      <x:c r="S35" s="34" t="n">
        <x:f>IF(MONTH(DATE(Milestones!$C$6,12,1)-WEEKDAY(DATE(Milestones!$C$6,12,1),2)+1+15)=12,DATE(Milestones!$C$6,12,1)-WEEKDAY(DATE(Milestones!$C$6,12,1),2)+1+15,"")</x:f>
        <x:v>46735</x:v>
      </x:c>
      <x:c r="T35" s="34" t="n">
        <x:f>IF(MONTH(DATE(Milestones!$C$6,12,1)-WEEKDAY(DATE(Milestones!$C$6,12,1),2)+1+16)=12,DATE(Milestones!$C$6,12,1)-WEEKDAY(DATE(Milestones!$C$6,12,1),2)+1+16,"")</x:f>
        <x:v>46736</x:v>
      </x:c>
      <x:c r="U35" s="34" t="n">
        <x:f>IF(MONTH(DATE(Milestones!$C$6,12,1)-WEEKDAY(DATE(Milestones!$C$6,12,1),2)+1+17)=12,DATE(Milestones!$C$6,12,1)-WEEKDAY(DATE(Milestones!$C$6,12,1),2)+1+17,"")</x:f>
        <x:v>46737</x:v>
      </x:c>
      <x:c r="V35" s="34" t="n">
        <x:f>IF(MONTH(DATE(Milestones!$C$6,12,1)-WEEKDAY(DATE(Milestones!$C$6,12,1),2)+1+18)=12,DATE(Milestones!$C$6,12,1)-WEEKDAY(DATE(Milestones!$C$6,12,1),2)+1+18,"")</x:f>
        <x:v>46738</x:v>
      </x:c>
      <x:c r="W35" s="34" t="n">
        <x:f>IF(MONTH(DATE(Milestones!$C$6,12,1)-WEEKDAY(DATE(Milestones!$C$6,12,1),2)+1+19)=12,DATE(Milestones!$C$6,12,1)-WEEKDAY(DATE(Milestones!$C$6,12,1),2)+1+19,"")</x:f>
        <x:v>46739</x:v>
      </x:c>
      <x:c r="X35" s="34" t="n">
        <x:f>IF(MONTH(DATE(Milestones!$C$6,12,1)-WEEKDAY(DATE(Milestones!$C$6,12,1),2)+1+20)=12,DATE(Milestones!$C$6,12,1)-WEEKDAY(DATE(Milestones!$C$6,12,1),2)+1+20,"")</x:f>
        <x:v>46740</x:v>
      </x:c>
    </x:row>
    <x:row r="36" ht="23" customHeight="1">
      <x:c r="A36" s="3"/>
      <x:c r="B36" s="34" t="n">
        <x:f>IF(MONTH(DATE(Milestones!$C$6,10,1)-WEEKDAY(DATE(Milestones!$C$6,10,1),2)+1+21)=10,DATE(Milestones!$C$6,10,1)-WEEKDAY(DATE(Milestones!$C$6,10,1),2)+1+21,"")</x:f>
        <x:v>46678</x:v>
      </x:c>
      <x:c r="C36" s="34" t="n">
        <x:f>IF(MONTH(DATE(Milestones!$C$6,10,1)-WEEKDAY(DATE(Milestones!$C$6,10,1),2)+1+22)=10,DATE(Milestones!$C$6,10,1)-WEEKDAY(DATE(Milestones!$C$6,10,1),2)+1+22,"")</x:f>
        <x:v>46679</x:v>
      </x:c>
      <x:c r="D36" s="34" t="n">
        <x:f>IF(MONTH(DATE(Milestones!$C$6,10,1)-WEEKDAY(DATE(Milestones!$C$6,10,1),2)+1+23)=10,DATE(Milestones!$C$6,10,1)-WEEKDAY(DATE(Milestones!$C$6,10,1),2)+1+23,"")</x:f>
        <x:v>46680</x:v>
      </x:c>
      <x:c r="E36" s="34" t="n">
        <x:f>IF(MONTH(DATE(Milestones!$C$6,10,1)-WEEKDAY(DATE(Milestones!$C$6,10,1),2)+1+24)=10,DATE(Milestones!$C$6,10,1)-WEEKDAY(DATE(Milestones!$C$6,10,1),2)+1+24,"")</x:f>
        <x:v>46681</x:v>
      </x:c>
      <x:c r="F36" s="34" t="n">
        <x:f>IF(MONTH(DATE(Milestones!$C$6,10,1)-WEEKDAY(DATE(Milestones!$C$6,10,1),2)+1+25)=10,DATE(Milestones!$C$6,10,1)-WEEKDAY(DATE(Milestones!$C$6,10,1),2)+1+25,"")</x:f>
        <x:v>46682</x:v>
      </x:c>
      <x:c r="G36" s="34" t="n">
        <x:f>IF(MONTH(DATE(Milestones!$C$6,10,1)-WEEKDAY(DATE(Milestones!$C$6,10,1),2)+1+26)=10,DATE(Milestones!$C$6,10,1)-WEEKDAY(DATE(Milestones!$C$6,10,1),2)+1+26,"")</x:f>
        <x:v>46683</x:v>
      </x:c>
      <x:c r="H36" s="34" t="n">
        <x:f>IF(MONTH(DATE(Milestones!$C$6,10,1)-WEEKDAY(DATE(Milestones!$C$6,10,1),2)+1+27)=10,DATE(Milestones!$C$6,10,1)-WEEKDAY(DATE(Milestones!$C$6,10,1),2)+1+27,"")</x:f>
        <x:v>46684</x:v>
      </x:c>
      <x:c r="I36" s="3"/>
      <x:c r="J36" s="34" t="n">
        <x:f>IF(MONTH(DATE(Milestones!$C$6,11,1)-WEEKDAY(DATE(Milestones!$C$6,11,1),2)+1+21)=11,DATE(Milestones!$C$6,11,1)-WEEKDAY(DATE(Milestones!$C$6,11,1),2)+1+21,"")</x:f>
        <x:v>46713</x:v>
      </x:c>
      <x:c r="K36" s="34" t="n">
        <x:f>IF(MONTH(DATE(Milestones!$C$6,11,1)-WEEKDAY(DATE(Milestones!$C$6,11,1),2)+1+22)=11,DATE(Milestones!$C$6,11,1)-WEEKDAY(DATE(Milestones!$C$6,11,1),2)+1+22,"")</x:f>
        <x:v>46714</x:v>
      </x:c>
      <x:c r="L36" s="34" t="n">
        <x:f>IF(MONTH(DATE(Milestones!$C$6,11,1)-WEEKDAY(DATE(Milestones!$C$6,11,1),2)+1+23)=11,DATE(Milestones!$C$6,11,1)-WEEKDAY(DATE(Milestones!$C$6,11,1),2)+1+23,"")</x:f>
        <x:v>46715</x:v>
      </x:c>
      <x:c r="M36" s="34" t="n">
        <x:f>IF(MONTH(DATE(Milestones!$C$6,11,1)-WEEKDAY(DATE(Milestones!$C$6,11,1),2)+1+24)=11,DATE(Milestones!$C$6,11,1)-WEEKDAY(DATE(Milestones!$C$6,11,1),2)+1+24,"")</x:f>
        <x:v>46716</x:v>
      </x:c>
      <x:c r="N36" s="34" t="n">
        <x:f>IF(MONTH(DATE(Milestones!$C$6,11,1)-WEEKDAY(DATE(Milestones!$C$6,11,1),2)+1+25)=11,DATE(Milestones!$C$6,11,1)-WEEKDAY(DATE(Milestones!$C$6,11,1),2)+1+25,"")</x:f>
        <x:v>46717</x:v>
      </x:c>
      <x:c r="O36" s="34" t="n">
        <x:f>IF(MONTH(DATE(Milestones!$C$6,11,1)-WEEKDAY(DATE(Milestones!$C$6,11,1),2)+1+26)=11,DATE(Milestones!$C$6,11,1)-WEEKDAY(DATE(Milestones!$C$6,11,1),2)+1+26,"")</x:f>
        <x:v>46718</x:v>
      </x:c>
      <x:c r="P36" s="34" t="n">
        <x:f>IF(MONTH(DATE(Milestones!$C$6,11,1)-WEEKDAY(DATE(Milestones!$C$6,11,1),2)+1+27)=11,DATE(Milestones!$C$6,11,1)-WEEKDAY(DATE(Milestones!$C$6,11,1),2)+1+27,"")</x:f>
        <x:v>46719</x:v>
      </x:c>
      <x:c r="Q36" s="3"/>
      <x:c r="R36" s="34" t="n">
        <x:f>IF(MONTH(DATE(Milestones!$C$6,12,1)-WEEKDAY(DATE(Milestones!$C$6,12,1),2)+1+21)=12,DATE(Milestones!$C$6,12,1)-WEEKDAY(DATE(Milestones!$C$6,12,1),2)+1+21,"")</x:f>
        <x:v>46741</x:v>
      </x:c>
      <x:c r="S36" s="34" t="n">
        <x:f>IF(MONTH(DATE(Milestones!$C$6,12,1)-WEEKDAY(DATE(Milestones!$C$6,12,1),2)+1+22)=12,DATE(Milestones!$C$6,12,1)-WEEKDAY(DATE(Milestones!$C$6,12,1),2)+1+22,"")</x:f>
        <x:v>46742</x:v>
      </x:c>
      <x:c r="T36" s="34" t="n">
        <x:f>IF(MONTH(DATE(Milestones!$C$6,12,1)-WEEKDAY(DATE(Milestones!$C$6,12,1),2)+1+23)=12,DATE(Milestones!$C$6,12,1)-WEEKDAY(DATE(Milestones!$C$6,12,1),2)+1+23,"")</x:f>
        <x:v>46743</x:v>
      </x:c>
      <x:c r="U36" s="34" t="n">
        <x:f>IF(MONTH(DATE(Milestones!$C$6,12,1)-WEEKDAY(DATE(Milestones!$C$6,12,1),2)+1+24)=12,DATE(Milestones!$C$6,12,1)-WEEKDAY(DATE(Milestones!$C$6,12,1),2)+1+24,"")</x:f>
        <x:v>46744</x:v>
      </x:c>
      <x:c r="V36" s="34" t="n">
        <x:f>IF(MONTH(DATE(Milestones!$C$6,12,1)-WEEKDAY(DATE(Milestones!$C$6,12,1),2)+1+25)=12,DATE(Milestones!$C$6,12,1)-WEEKDAY(DATE(Milestones!$C$6,12,1),2)+1+25,"")</x:f>
        <x:v>46745</x:v>
      </x:c>
      <x:c r="W36" s="34" t="n">
        <x:f>IF(MONTH(DATE(Milestones!$C$6,12,1)-WEEKDAY(DATE(Milestones!$C$6,12,1),2)+1+26)=12,DATE(Milestones!$C$6,12,1)-WEEKDAY(DATE(Milestones!$C$6,12,1),2)+1+26,"")</x:f>
        <x:v>46746</x:v>
      </x:c>
      <x:c r="X36" s="34" t="n">
        <x:f>IF(MONTH(DATE(Milestones!$C$6,12,1)-WEEKDAY(DATE(Milestones!$C$6,12,1),2)+1+27)=12,DATE(Milestones!$C$6,12,1)-WEEKDAY(DATE(Milestones!$C$6,12,1),2)+1+27,"")</x:f>
        <x:v>46747</x:v>
      </x:c>
    </x:row>
    <x:row r="37" ht="23" customHeight="1">
      <x:c r="A37" s="3"/>
      <x:c r="B37" s="34" t="n">
        <x:f>IF(MONTH(DATE(Milestones!$C$6,10,1)-WEEKDAY(DATE(Milestones!$C$6,10,1),2)+1+28)=10,DATE(Milestones!$C$6,10,1)-WEEKDAY(DATE(Milestones!$C$6,10,1),2)+1+28,"")</x:f>
        <x:v>46685</x:v>
      </x:c>
      <x:c r="C37" s="34" t="n">
        <x:f>IF(MONTH(DATE(Milestones!$C$6,10,1)-WEEKDAY(DATE(Milestones!$C$6,10,1),2)+1+29)=10,DATE(Milestones!$C$6,10,1)-WEEKDAY(DATE(Milestones!$C$6,10,1),2)+1+29,"")</x:f>
        <x:v>46686</x:v>
      </x:c>
      <x:c r="D37" s="34" t="n">
        <x:f>IF(MONTH(DATE(Milestones!$C$6,10,1)-WEEKDAY(DATE(Milestones!$C$6,10,1),2)+1+30)=10,DATE(Milestones!$C$6,10,1)-WEEKDAY(DATE(Milestones!$C$6,10,1),2)+1+30,"")</x:f>
        <x:v>46687</x:v>
      </x:c>
      <x:c r="E37" s="34" t="n">
        <x:f>IF(MONTH(DATE(Milestones!$C$6,10,1)-WEEKDAY(DATE(Milestones!$C$6,10,1),2)+1+31)=10,DATE(Milestones!$C$6,10,1)-WEEKDAY(DATE(Milestones!$C$6,10,1),2)+1+31,"")</x:f>
        <x:v>46688</x:v>
      </x:c>
      <x:c r="F37" s="34" t="n">
        <x:f>IF(MONTH(DATE(Milestones!$C$6,10,1)-WEEKDAY(DATE(Milestones!$C$6,10,1),2)+1+32)=10,DATE(Milestones!$C$6,10,1)-WEEKDAY(DATE(Milestones!$C$6,10,1),2)+1+32,"")</x:f>
        <x:v>46689</x:v>
      </x:c>
      <x:c r="G37" s="34" t="n">
        <x:f>IF(MONTH(DATE(Milestones!$C$6,10,1)-WEEKDAY(DATE(Milestones!$C$6,10,1),2)+1+33)=10,DATE(Milestones!$C$6,10,1)-WEEKDAY(DATE(Milestones!$C$6,10,1),2)+1+33,"")</x:f>
        <x:v>46690</x:v>
      </x:c>
      <x:c r="H37" s="34" t="n">
        <x:f>IF(MONTH(DATE(Milestones!$C$6,10,1)-WEEKDAY(DATE(Milestones!$C$6,10,1),2)+1+34)=10,DATE(Milestones!$C$6,10,1)-WEEKDAY(DATE(Milestones!$C$6,10,1),2)+1+34,"")</x:f>
        <x:v>46691</x:v>
      </x:c>
      <x:c r="I37" s="3"/>
      <x:c r="J37" s="34" t="n">
        <x:f>IF(MONTH(DATE(Milestones!$C$6,11,1)-WEEKDAY(DATE(Milestones!$C$6,11,1),2)+1+28)=11,DATE(Milestones!$C$6,11,1)-WEEKDAY(DATE(Milestones!$C$6,11,1),2)+1+28,"")</x:f>
        <x:v>46720</x:v>
      </x:c>
      <x:c r="K37" s="34" t="n">
        <x:f>IF(MONTH(DATE(Milestones!$C$6,11,1)-WEEKDAY(DATE(Milestones!$C$6,11,1),2)+1+29)=11,DATE(Milestones!$C$6,11,1)-WEEKDAY(DATE(Milestones!$C$6,11,1),2)+1+29,"")</x:f>
        <x:v>46721</x:v>
      </x:c>
      <x:c r="L37" s="34" t="str">
        <x:f>IF(MONTH(DATE(Milestones!$C$6,11,1)-WEEKDAY(DATE(Milestones!$C$6,11,1),2)+1+30)=11,DATE(Milestones!$C$6,11,1)-WEEKDAY(DATE(Milestones!$C$6,11,1),2)+1+30,"")</x:f>
      </x:c>
      <x:c r="M37" s="34" t="str">
        <x:f>IF(MONTH(DATE(Milestones!$C$6,11,1)-WEEKDAY(DATE(Milestones!$C$6,11,1),2)+1+31)=11,DATE(Milestones!$C$6,11,1)-WEEKDAY(DATE(Milestones!$C$6,11,1),2)+1+31,"")</x:f>
      </x:c>
      <x:c r="N37" s="34" t="str">
        <x:f>IF(MONTH(DATE(Milestones!$C$6,11,1)-WEEKDAY(DATE(Milestones!$C$6,11,1),2)+1+32)=11,DATE(Milestones!$C$6,11,1)-WEEKDAY(DATE(Milestones!$C$6,11,1),2)+1+32,"")</x:f>
      </x:c>
      <x:c r="O37" s="34" t="str">
        <x:f>IF(MONTH(DATE(Milestones!$C$6,11,1)-WEEKDAY(DATE(Milestones!$C$6,11,1),2)+1+33)=11,DATE(Milestones!$C$6,11,1)-WEEKDAY(DATE(Milestones!$C$6,11,1),2)+1+33,"")</x:f>
      </x:c>
      <x:c r="P37" s="34" t="str">
        <x:f>IF(MONTH(DATE(Milestones!$C$6,11,1)-WEEKDAY(DATE(Milestones!$C$6,11,1),2)+1+34)=11,DATE(Milestones!$C$6,11,1)-WEEKDAY(DATE(Milestones!$C$6,11,1),2)+1+34,"")</x:f>
      </x:c>
      <x:c r="Q37" s="3"/>
      <x:c r="R37" s="34" t="n">
        <x:f>IF(MONTH(DATE(Milestones!$C$6,12,1)-WEEKDAY(DATE(Milestones!$C$6,12,1),2)+1+28)=12,DATE(Milestones!$C$6,12,1)-WEEKDAY(DATE(Milestones!$C$6,12,1),2)+1+28,"")</x:f>
        <x:v>46748</x:v>
      </x:c>
      <x:c r="S37" s="34" t="n">
        <x:f>IF(MONTH(DATE(Milestones!$C$6,12,1)-WEEKDAY(DATE(Milestones!$C$6,12,1),2)+1+29)=12,DATE(Milestones!$C$6,12,1)-WEEKDAY(DATE(Milestones!$C$6,12,1),2)+1+29,"")</x:f>
        <x:v>46749</x:v>
      </x:c>
      <x:c r="T37" s="34" t="n">
        <x:f>IF(MONTH(DATE(Milestones!$C$6,12,1)-WEEKDAY(DATE(Milestones!$C$6,12,1),2)+1+30)=12,DATE(Milestones!$C$6,12,1)-WEEKDAY(DATE(Milestones!$C$6,12,1),2)+1+30,"")</x:f>
        <x:v>46750</x:v>
      </x:c>
      <x:c r="U37" s="34" t="n">
        <x:f>IF(MONTH(DATE(Milestones!$C$6,12,1)-WEEKDAY(DATE(Milestones!$C$6,12,1),2)+1+31)=12,DATE(Milestones!$C$6,12,1)-WEEKDAY(DATE(Milestones!$C$6,12,1),2)+1+31,"")</x:f>
        <x:v>46751</x:v>
      </x:c>
      <x:c r="V37" s="34" t="n">
        <x:f>IF(MONTH(DATE(Milestones!$C$6,12,1)-WEEKDAY(DATE(Milestones!$C$6,12,1),2)+1+32)=12,DATE(Milestones!$C$6,12,1)-WEEKDAY(DATE(Milestones!$C$6,12,1),2)+1+32,"")</x:f>
        <x:v>46752</x:v>
      </x:c>
      <x:c r="W37" s="34" t="str">
        <x:f>IF(MONTH(DATE(Milestones!$C$6,12,1)-WEEKDAY(DATE(Milestones!$C$6,12,1),2)+1+33)=12,DATE(Milestones!$C$6,12,1)-WEEKDAY(DATE(Milestones!$C$6,12,1),2)+1+33,"")</x:f>
      </x:c>
      <x:c r="X37" s="34" t="str">
        <x:f>IF(MONTH(DATE(Milestones!$C$6,12,1)-WEEKDAY(DATE(Milestones!$C$6,12,1),2)+1+34)=12,DATE(Milestones!$C$6,12,1)-WEEKDAY(DATE(Milestones!$C$6,12,1),2)+1+34,"")</x:f>
      </x:c>
    </x:row>
    <x:row r="38" ht="23" customHeight="1">
      <x:c r="A38" s="3"/>
      <x:c r="B38" s="34" t="str">
        <x:f>IF(MONTH(DATE(Milestones!$C$6,10,1)-WEEKDAY(DATE(Milestones!$C$6,10,1),2)+1+35)=10,DATE(Milestones!$C$6,10,1)-WEEKDAY(DATE(Milestones!$C$6,10,1),2)+1+35,"")</x:f>
      </x:c>
      <x:c r="C38" s="34" t="str">
        <x:f>IF(MONTH(DATE(Milestones!$C$6,10,1)-WEEKDAY(DATE(Milestones!$C$6,10,1),2)+1+36)=10,DATE(Milestones!$C$6,10,1)-WEEKDAY(DATE(Milestones!$C$6,10,1),2)+1+36,"")</x:f>
      </x:c>
      <x:c r="D38" s="34" t="str">
        <x:f>IF(MONTH(DATE(Milestones!$C$6,10,1)-WEEKDAY(DATE(Milestones!$C$6,10,1),2)+1+37)=10,DATE(Milestones!$C$6,10,1)-WEEKDAY(DATE(Milestones!$C$6,10,1),2)+1+37,"")</x:f>
      </x:c>
      <x:c r="E38" s="34" t="str">
        <x:f>IF(MONTH(DATE(Milestones!$C$6,10,1)-WEEKDAY(DATE(Milestones!$C$6,10,1),2)+1+38)=10,DATE(Milestones!$C$6,10,1)-WEEKDAY(DATE(Milestones!$C$6,10,1),2)+1+38,"")</x:f>
      </x:c>
      <x:c r="F38" s="34" t="str">
        <x:f>IF(MONTH(DATE(Milestones!$C$6,10,1)-WEEKDAY(DATE(Milestones!$C$6,10,1),2)+1+39)=10,DATE(Milestones!$C$6,10,1)-WEEKDAY(DATE(Milestones!$C$6,10,1),2)+1+39,"")</x:f>
      </x:c>
      <x:c r="G38" s="34" t="str">
        <x:f>IF(MONTH(DATE(Milestones!$C$6,10,1)-WEEKDAY(DATE(Milestones!$C$6,10,1),2)+1+40)=10,DATE(Milestones!$C$6,10,1)-WEEKDAY(DATE(Milestones!$C$6,10,1),2)+1+40,"")</x:f>
      </x:c>
      <x:c r="H38" s="34" t="str">
        <x:f>IF(MONTH(DATE(Milestones!$C$6,10,1)-WEEKDAY(DATE(Milestones!$C$6,10,1),2)+1+41)=10,DATE(Milestones!$C$6,10,1)-WEEKDAY(DATE(Milestones!$C$6,10,1),2)+1+41,"")</x:f>
      </x:c>
      <x:c r="I38" s="3"/>
      <x:c r="J38" s="34" t="str">
        <x:f>IF(MONTH(DATE(Milestones!$C$6,11,1)-WEEKDAY(DATE(Milestones!$C$6,11,1),2)+1+35)=11,DATE(Milestones!$C$6,11,1)-WEEKDAY(DATE(Milestones!$C$6,11,1),2)+1+35,"")</x:f>
      </x:c>
      <x:c r="K38" s="34" t="str">
        <x:f>IF(MONTH(DATE(Milestones!$C$6,11,1)-WEEKDAY(DATE(Milestones!$C$6,11,1),2)+1+36)=11,DATE(Milestones!$C$6,11,1)-WEEKDAY(DATE(Milestones!$C$6,11,1),2)+1+36,"")</x:f>
      </x:c>
      <x:c r="L38" s="34" t="str">
        <x:f>IF(MONTH(DATE(Milestones!$C$6,11,1)-WEEKDAY(DATE(Milestones!$C$6,11,1),2)+1+37)=11,DATE(Milestones!$C$6,11,1)-WEEKDAY(DATE(Milestones!$C$6,11,1),2)+1+37,"")</x:f>
      </x:c>
      <x:c r="M38" s="34" t="str">
        <x:f>IF(MONTH(DATE(Milestones!$C$6,11,1)-WEEKDAY(DATE(Milestones!$C$6,11,1),2)+1+38)=11,DATE(Milestones!$C$6,11,1)-WEEKDAY(DATE(Milestones!$C$6,11,1),2)+1+38,"")</x:f>
      </x:c>
      <x:c r="N38" s="34" t="str">
        <x:f>IF(MONTH(DATE(Milestones!$C$6,11,1)-WEEKDAY(DATE(Milestones!$C$6,11,1),2)+1+39)=11,DATE(Milestones!$C$6,11,1)-WEEKDAY(DATE(Milestones!$C$6,11,1),2)+1+39,"")</x:f>
      </x:c>
      <x:c r="O38" s="34" t="str">
        <x:f>IF(MONTH(DATE(Milestones!$C$6,11,1)-WEEKDAY(DATE(Milestones!$C$6,11,1),2)+1+40)=11,DATE(Milestones!$C$6,11,1)-WEEKDAY(DATE(Milestones!$C$6,11,1),2)+1+40,"")</x:f>
      </x:c>
      <x:c r="P38" s="34" t="str">
        <x:f>IF(MONTH(DATE(Milestones!$C$6,11,1)-WEEKDAY(DATE(Milestones!$C$6,11,1),2)+1+41)=11,DATE(Milestones!$C$6,11,1)-WEEKDAY(DATE(Milestones!$C$6,11,1),2)+1+41,"")</x:f>
      </x:c>
      <x:c r="Q38" s="3"/>
      <x:c r="R38" s="34" t="str">
        <x:f>IF(MONTH(DATE(Milestones!$C$6,12,1)-WEEKDAY(DATE(Milestones!$C$6,12,1),2)+1+35)=12,DATE(Milestones!$C$6,12,1)-WEEKDAY(DATE(Milestones!$C$6,12,1),2)+1+35,"")</x:f>
      </x:c>
      <x:c r="S38" s="34" t="str">
        <x:f>IF(MONTH(DATE(Milestones!$C$6,12,1)-WEEKDAY(DATE(Milestones!$C$6,12,1),2)+1+36)=12,DATE(Milestones!$C$6,12,1)-WEEKDAY(DATE(Milestones!$C$6,12,1),2)+1+36,"")</x:f>
      </x:c>
      <x:c r="T38" s="34" t="str">
        <x:f>IF(MONTH(DATE(Milestones!$C$6,12,1)-WEEKDAY(DATE(Milestones!$C$6,12,1),2)+1+37)=12,DATE(Milestones!$C$6,12,1)-WEEKDAY(DATE(Milestones!$C$6,12,1),2)+1+37,"")</x:f>
      </x:c>
      <x:c r="U38" s="34" t="str">
        <x:f>IF(MONTH(DATE(Milestones!$C$6,12,1)-WEEKDAY(DATE(Milestones!$C$6,12,1),2)+1+38)=12,DATE(Milestones!$C$6,12,1)-WEEKDAY(DATE(Milestones!$C$6,12,1),2)+1+38,"")</x:f>
      </x:c>
      <x:c r="V38" s="34" t="str">
        <x:f>IF(MONTH(DATE(Milestones!$C$6,12,1)-WEEKDAY(DATE(Milestones!$C$6,12,1),2)+1+39)=12,DATE(Milestones!$C$6,12,1)-WEEKDAY(DATE(Milestones!$C$6,12,1),2)+1+39,"")</x:f>
      </x:c>
      <x:c r="W38" s="34" t="str">
        <x:f>IF(MONTH(DATE(Milestones!$C$6,12,1)-WEEKDAY(DATE(Milestones!$C$6,12,1),2)+1+40)=12,DATE(Milestones!$C$6,12,1)-WEEKDAY(DATE(Milestones!$C$6,12,1),2)+1+40,"")</x:f>
      </x:c>
      <x:c r="X38" s="34" t="str">
        <x:f>IF(MONTH(DATE(Milestones!$C$6,12,1)-WEEKDAY(DATE(Milestones!$C$6,12,1),2)+1+41)=12,DATE(Milestones!$C$6,12,1)-WEEKDAY(DATE(Milestones!$C$6,12,1),2)+1+41,"")</x:f>
      </x:c>
    </x:row>
  </x:sheetData>
  <x:mergeCells>
    <x:mergeCell ref="B2:W2"/>
    <x:mergeCell ref="B3:W3"/>
    <x:mergeCell ref="B5:W5"/>
    <x:mergeCell ref="B7:H7"/>
    <x:mergeCell ref="J7:P7"/>
    <x:mergeCell ref="R7:X7"/>
    <x:mergeCell ref="B15:H15"/>
    <x:mergeCell ref="J15:P15"/>
    <x:mergeCell ref="R15:X15"/>
    <x:mergeCell ref="B23:H23"/>
    <x:mergeCell ref="J23:P23"/>
    <x:mergeCell ref="R23:X23"/>
    <x:mergeCell ref="B31:H31"/>
    <x:mergeCell ref="J31:P31"/>
    <x:mergeCell ref="R31:X31"/>
  </x:mergeCells>
  <x:conditionalFormatting sqref="B9:B9">
    <x:cfRule type="expression" dxfId="172" priority="1">
      <x:formula>AND(B9&lt;&gt;"",COUNTIFS(Milestones!$C$11:$C$210,B9,Milestones!$B$11:$B$210,"&lt;&gt;",Milestones!$F$11:$F$210,"&lt;&gt;Cancelled")&gt;0)</x:formula>
    </x:cfRule>
    <x:cfRule type="expression" dxfId="173" priority="2">
      <x:formula>AND(B9&lt;&gt;"",B9&lt;Milestones!$F$5,COUNTIFS(Milestones!$C$11:$C$210,B9,Milestones!$B$11:$B$210,"&lt;&gt;",Milestones!$F$11:$F$210,"&lt;&gt;Cancelled",Milestones!$F$11:$F$210,"&lt;&gt;Complete")&gt;0)</x:formula>
    </x:cfRule>
  </x:conditionalFormatting>
  <x:conditionalFormatting sqref="C9:C9">
    <x:cfRule type="expression" dxfId="174" priority="3">
      <x:formula>AND(C9&lt;&gt;"",COUNTIFS(Milestones!$C$11:$C$210,C9,Milestones!$B$11:$B$210,"&lt;&gt;",Milestones!$F$11:$F$210,"&lt;&gt;Cancelled")&gt;0)</x:formula>
    </x:cfRule>
    <x:cfRule type="expression" dxfId="175" priority="4">
      <x:formula>AND(C9&lt;&gt;"",C9&lt;Milestones!$F$5,COUNTIFS(Milestones!$C$11:$C$210,C9,Milestones!$B$11:$B$210,"&lt;&gt;",Milestones!$F$11:$F$210,"&lt;&gt;Cancelled",Milestones!$F$11:$F$210,"&lt;&gt;Complete")&gt;0)</x:formula>
    </x:cfRule>
  </x:conditionalFormatting>
  <x:conditionalFormatting sqref="D9:D9">
    <x:cfRule type="expression" dxfId="176" priority="5">
      <x:formula>AND(D9&lt;&gt;"",COUNTIFS(Milestones!$C$11:$C$210,D9,Milestones!$B$11:$B$210,"&lt;&gt;",Milestones!$F$11:$F$210,"&lt;&gt;Cancelled")&gt;0)</x:formula>
    </x:cfRule>
    <x:cfRule type="expression" dxfId="177" priority="6">
      <x:formula>AND(D9&lt;&gt;"",D9&lt;Milestones!$F$5,COUNTIFS(Milestones!$C$11:$C$210,D9,Milestones!$B$11:$B$210,"&lt;&gt;",Milestones!$F$11:$F$210,"&lt;&gt;Cancelled",Milestones!$F$11:$F$210,"&lt;&gt;Complete")&gt;0)</x:formula>
    </x:cfRule>
  </x:conditionalFormatting>
  <x:conditionalFormatting sqref="E9:E9">
    <x:cfRule type="expression" dxfId="178" priority="7">
      <x:formula>AND(E9&lt;&gt;"",COUNTIFS(Milestones!$C$11:$C$210,E9,Milestones!$B$11:$B$210,"&lt;&gt;",Milestones!$F$11:$F$210,"&lt;&gt;Cancelled")&gt;0)</x:formula>
    </x:cfRule>
    <x:cfRule type="expression" dxfId="179" priority="8">
      <x:formula>AND(E9&lt;&gt;"",E9&lt;Milestones!$F$5,COUNTIFS(Milestones!$C$11:$C$210,E9,Milestones!$B$11:$B$210,"&lt;&gt;",Milestones!$F$11:$F$210,"&lt;&gt;Cancelled",Milestones!$F$11:$F$210,"&lt;&gt;Complete")&gt;0)</x:formula>
    </x:cfRule>
  </x:conditionalFormatting>
  <x:conditionalFormatting sqref="F9:F9">
    <x:cfRule type="expression" dxfId="180" priority="9">
      <x:formula>AND(F9&lt;&gt;"",COUNTIFS(Milestones!$C$11:$C$210,F9,Milestones!$B$11:$B$210,"&lt;&gt;",Milestones!$F$11:$F$210,"&lt;&gt;Cancelled")&gt;0)</x:formula>
    </x:cfRule>
    <x:cfRule type="expression" dxfId="181" priority="10">
      <x:formula>AND(F9&lt;&gt;"",F9&lt;Milestones!$F$5,COUNTIFS(Milestones!$C$11:$C$210,F9,Milestones!$B$11:$B$210,"&lt;&gt;",Milestones!$F$11:$F$210,"&lt;&gt;Cancelled",Milestones!$F$11:$F$210,"&lt;&gt;Complete")&gt;0)</x:formula>
    </x:cfRule>
  </x:conditionalFormatting>
  <x:conditionalFormatting sqref="G9:G9">
    <x:cfRule type="expression" dxfId="182" priority="11">
      <x:formula>AND(G9&lt;&gt;"",COUNTIFS(Milestones!$C$11:$C$210,G9,Milestones!$B$11:$B$210,"&lt;&gt;",Milestones!$F$11:$F$210,"&lt;&gt;Cancelled")&gt;0)</x:formula>
    </x:cfRule>
    <x:cfRule type="expression" dxfId="183" priority="12">
      <x:formula>AND(G9&lt;&gt;"",G9&lt;Milestones!$F$5,COUNTIFS(Milestones!$C$11:$C$210,G9,Milestones!$B$11:$B$210,"&lt;&gt;",Milestones!$F$11:$F$210,"&lt;&gt;Cancelled",Milestones!$F$11:$F$210,"&lt;&gt;Complete")&gt;0)</x:formula>
    </x:cfRule>
  </x:conditionalFormatting>
  <x:conditionalFormatting sqref="H9:H9">
    <x:cfRule type="expression" dxfId="184" priority="13">
      <x:formula>AND(H9&lt;&gt;"",COUNTIFS(Milestones!$C$11:$C$210,H9,Milestones!$B$11:$B$210,"&lt;&gt;",Milestones!$F$11:$F$210,"&lt;&gt;Cancelled")&gt;0)</x:formula>
    </x:cfRule>
    <x:cfRule type="expression" dxfId="185" priority="14">
      <x:formula>AND(H9&lt;&gt;"",H9&lt;Milestones!$F$5,COUNTIFS(Milestones!$C$11:$C$210,H9,Milestones!$B$11:$B$210,"&lt;&gt;",Milestones!$F$11:$F$210,"&lt;&gt;Cancelled",Milestones!$F$11:$F$210,"&lt;&gt;Complete")&gt;0)</x:formula>
    </x:cfRule>
  </x:conditionalFormatting>
  <x:conditionalFormatting sqref="B10:B10">
    <x:cfRule type="expression" dxfId="186" priority="15">
      <x:formula>AND(B10&lt;&gt;"",COUNTIFS(Milestones!$C$11:$C$210,B10,Milestones!$B$11:$B$210,"&lt;&gt;",Milestones!$F$11:$F$210,"&lt;&gt;Cancelled")&gt;0)</x:formula>
    </x:cfRule>
    <x:cfRule type="expression" dxfId="187" priority="16">
      <x:formula>AND(B10&lt;&gt;"",B10&lt;Milestones!$F$5,COUNTIFS(Milestones!$C$11:$C$210,B10,Milestones!$B$11:$B$210,"&lt;&gt;",Milestones!$F$11:$F$210,"&lt;&gt;Cancelled",Milestones!$F$11:$F$210,"&lt;&gt;Complete")&gt;0)</x:formula>
    </x:cfRule>
  </x:conditionalFormatting>
  <x:conditionalFormatting sqref="C10:C10">
    <x:cfRule type="expression" dxfId="188" priority="17">
      <x:formula>AND(C10&lt;&gt;"",COUNTIFS(Milestones!$C$11:$C$210,C10,Milestones!$B$11:$B$210,"&lt;&gt;",Milestones!$F$11:$F$210,"&lt;&gt;Cancelled")&gt;0)</x:formula>
    </x:cfRule>
    <x:cfRule type="expression" dxfId="189" priority="18">
      <x:formula>AND(C10&lt;&gt;"",C10&lt;Milestones!$F$5,COUNTIFS(Milestones!$C$11:$C$210,C10,Milestones!$B$11:$B$210,"&lt;&gt;",Milestones!$F$11:$F$210,"&lt;&gt;Cancelled",Milestones!$F$11:$F$210,"&lt;&gt;Complete")&gt;0)</x:formula>
    </x:cfRule>
  </x:conditionalFormatting>
  <x:conditionalFormatting sqref="D10:D10">
    <x:cfRule type="expression" dxfId="190" priority="19">
      <x:formula>AND(D10&lt;&gt;"",COUNTIFS(Milestones!$C$11:$C$210,D10,Milestones!$B$11:$B$210,"&lt;&gt;",Milestones!$F$11:$F$210,"&lt;&gt;Cancelled")&gt;0)</x:formula>
    </x:cfRule>
    <x:cfRule type="expression" dxfId="191" priority="20">
      <x:formula>AND(D10&lt;&gt;"",D10&lt;Milestones!$F$5,COUNTIFS(Milestones!$C$11:$C$210,D10,Milestones!$B$11:$B$210,"&lt;&gt;",Milestones!$F$11:$F$210,"&lt;&gt;Cancelled",Milestones!$F$11:$F$210,"&lt;&gt;Complete")&gt;0)</x:formula>
    </x:cfRule>
  </x:conditionalFormatting>
  <x:conditionalFormatting sqref="E10:E10">
    <x:cfRule type="expression" dxfId="192" priority="21">
      <x:formula>AND(E10&lt;&gt;"",COUNTIFS(Milestones!$C$11:$C$210,E10,Milestones!$B$11:$B$210,"&lt;&gt;",Milestones!$F$11:$F$210,"&lt;&gt;Cancelled")&gt;0)</x:formula>
    </x:cfRule>
    <x:cfRule type="expression" dxfId="193" priority="22">
      <x:formula>AND(E10&lt;&gt;"",E10&lt;Milestones!$F$5,COUNTIFS(Milestones!$C$11:$C$210,E10,Milestones!$B$11:$B$210,"&lt;&gt;",Milestones!$F$11:$F$210,"&lt;&gt;Cancelled",Milestones!$F$11:$F$210,"&lt;&gt;Complete")&gt;0)</x:formula>
    </x:cfRule>
  </x:conditionalFormatting>
  <x:conditionalFormatting sqref="F10:F10">
    <x:cfRule type="expression" dxfId="194" priority="23">
      <x:formula>AND(F10&lt;&gt;"",COUNTIFS(Milestones!$C$11:$C$210,F10,Milestones!$B$11:$B$210,"&lt;&gt;",Milestones!$F$11:$F$210,"&lt;&gt;Cancelled")&gt;0)</x:formula>
    </x:cfRule>
    <x:cfRule type="expression" dxfId="195" priority="24">
      <x:formula>AND(F10&lt;&gt;"",F10&lt;Milestones!$F$5,COUNTIFS(Milestones!$C$11:$C$210,F10,Milestones!$B$11:$B$210,"&lt;&gt;",Milestones!$F$11:$F$210,"&lt;&gt;Cancelled",Milestones!$F$11:$F$210,"&lt;&gt;Complete")&gt;0)</x:formula>
    </x:cfRule>
  </x:conditionalFormatting>
  <x:conditionalFormatting sqref="G10:G10">
    <x:cfRule type="expression" dxfId="196" priority="25">
      <x:formula>AND(G10&lt;&gt;"",COUNTIFS(Milestones!$C$11:$C$210,G10,Milestones!$B$11:$B$210,"&lt;&gt;",Milestones!$F$11:$F$210,"&lt;&gt;Cancelled")&gt;0)</x:formula>
    </x:cfRule>
    <x:cfRule type="expression" dxfId="197" priority="26">
      <x:formula>AND(G10&lt;&gt;"",G10&lt;Milestones!$F$5,COUNTIFS(Milestones!$C$11:$C$210,G10,Milestones!$B$11:$B$210,"&lt;&gt;",Milestones!$F$11:$F$210,"&lt;&gt;Cancelled",Milestones!$F$11:$F$210,"&lt;&gt;Complete")&gt;0)</x:formula>
    </x:cfRule>
  </x:conditionalFormatting>
  <x:conditionalFormatting sqref="H10:H10">
    <x:cfRule type="expression" dxfId="198" priority="27">
      <x:formula>AND(H10&lt;&gt;"",COUNTIFS(Milestones!$C$11:$C$210,H10,Milestones!$B$11:$B$210,"&lt;&gt;",Milestones!$F$11:$F$210,"&lt;&gt;Cancelled")&gt;0)</x:formula>
    </x:cfRule>
    <x:cfRule type="expression" dxfId="199" priority="28">
      <x:formula>AND(H10&lt;&gt;"",H10&lt;Milestones!$F$5,COUNTIFS(Milestones!$C$11:$C$210,H10,Milestones!$B$11:$B$210,"&lt;&gt;",Milestones!$F$11:$F$210,"&lt;&gt;Cancelled",Milestones!$F$11:$F$210,"&lt;&gt;Complete")&gt;0)</x:formula>
    </x:cfRule>
  </x:conditionalFormatting>
  <x:conditionalFormatting sqref="B11:B11">
    <x:cfRule type="expression" dxfId="200" priority="29">
      <x:formula>AND(B11&lt;&gt;"",COUNTIFS(Milestones!$C$11:$C$210,B11,Milestones!$B$11:$B$210,"&lt;&gt;",Milestones!$F$11:$F$210,"&lt;&gt;Cancelled")&gt;0)</x:formula>
    </x:cfRule>
    <x:cfRule type="expression" dxfId="201" priority="30">
      <x:formula>AND(B11&lt;&gt;"",B11&lt;Milestones!$F$5,COUNTIFS(Milestones!$C$11:$C$210,B11,Milestones!$B$11:$B$210,"&lt;&gt;",Milestones!$F$11:$F$210,"&lt;&gt;Cancelled",Milestones!$F$11:$F$210,"&lt;&gt;Complete")&gt;0)</x:formula>
    </x:cfRule>
  </x:conditionalFormatting>
  <x:conditionalFormatting sqref="C11:C11">
    <x:cfRule type="expression" dxfId="202" priority="31">
      <x:formula>AND(C11&lt;&gt;"",COUNTIFS(Milestones!$C$11:$C$210,C11,Milestones!$B$11:$B$210,"&lt;&gt;",Milestones!$F$11:$F$210,"&lt;&gt;Cancelled")&gt;0)</x:formula>
    </x:cfRule>
    <x:cfRule type="expression" dxfId="203" priority="32">
      <x:formula>AND(C11&lt;&gt;"",C11&lt;Milestones!$F$5,COUNTIFS(Milestones!$C$11:$C$210,C11,Milestones!$B$11:$B$210,"&lt;&gt;",Milestones!$F$11:$F$210,"&lt;&gt;Cancelled",Milestones!$F$11:$F$210,"&lt;&gt;Complete")&gt;0)</x:formula>
    </x:cfRule>
  </x:conditionalFormatting>
  <x:conditionalFormatting sqref="D11:D11">
    <x:cfRule type="expression" dxfId="204" priority="33">
      <x:formula>AND(D11&lt;&gt;"",COUNTIFS(Milestones!$C$11:$C$210,D11,Milestones!$B$11:$B$210,"&lt;&gt;",Milestones!$F$11:$F$210,"&lt;&gt;Cancelled")&gt;0)</x:formula>
    </x:cfRule>
    <x:cfRule type="expression" dxfId="205" priority="34">
      <x:formula>AND(D11&lt;&gt;"",D11&lt;Milestones!$F$5,COUNTIFS(Milestones!$C$11:$C$210,D11,Milestones!$B$11:$B$210,"&lt;&gt;",Milestones!$F$11:$F$210,"&lt;&gt;Cancelled",Milestones!$F$11:$F$210,"&lt;&gt;Complete")&gt;0)</x:formula>
    </x:cfRule>
  </x:conditionalFormatting>
  <x:conditionalFormatting sqref="E11:E11">
    <x:cfRule type="expression" dxfId="206" priority="35">
      <x:formula>AND(E11&lt;&gt;"",COUNTIFS(Milestones!$C$11:$C$210,E11,Milestones!$B$11:$B$210,"&lt;&gt;",Milestones!$F$11:$F$210,"&lt;&gt;Cancelled")&gt;0)</x:formula>
    </x:cfRule>
    <x:cfRule type="expression" dxfId="207" priority="36">
      <x:formula>AND(E11&lt;&gt;"",E11&lt;Milestones!$F$5,COUNTIFS(Milestones!$C$11:$C$210,E11,Milestones!$B$11:$B$210,"&lt;&gt;",Milestones!$F$11:$F$210,"&lt;&gt;Cancelled",Milestones!$F$11:$F$210,"&lt;&gt;Complete")&gt;0)</x:formula>
    </x:cfRule>
  </x:conditionalFormatting>
  <x:conditionalFormatting sqref="F11:F11">
    <x:cfRule type="expression" dxfId="208" priority="37">
      <x:formula>AND(F11&lt;&gt;"",COUNTIFS(Milestones!$C$11:$C$210,F11,Milestones!$B$11:$B$210,"&lt;&gt;",Milestones!$F$11:$F$210,"&lt;&gt;Cancelled")&gt;0)</x:formula>
    </x:cfRule>
    <x:cfRule type="expression" dxfId="209" priority="38">
      <x:formula>AND(F11&lt;&gt;"",F11&lt;Milestones!$F$5,COUNTIFS(Milestones!$C$11:$C$210,F11,Milestones!$B$11:$B$210,"&lt;&gt;",Milestones!$F$11:$F$210,"&lt;&gt;Cancelled",Milestones!$F$11:$F$210,"&lt;&gt;Complete")&gt;0)</x:formula>
    </x:cfRule>
  </x:conditionalFormatting>
  <x:conditionalFormatting sqref="G11:G11">
    <x:cfRule type="expression" dxfId="210" priority="39">
      <x:formula>AND(G11&lt;&gt;"",COUNTIFS(Milestones!$C$11:$C$210,G11,Milestones!$B$11:$B$210,"&lt;&gt;",Milestones!$F$11:$F$210,"&lt;&gt;Cancelled")&gt;0)</x:formula>
    </x:cfRule>
    <x:cfRule type="expression" dxfId="211" priority="40">
      <x:formula>AND(G11&lt;&gt;"",G11&lt;Milestones!$F$5,COUNTIFS(Milestones!$C$11:$C$210,G11,Milestones!$B$11:$B$210,"&lt;&gt;",Milestones!$F$11:$F$210,"&lt;&gt;Cancelled",Milestones!$F$11:$F$210,"&lt;&gt;Complete")&gt;0)</x:formula>
    </x:cfRule>
  </x:conditionalFormatting>
  <x:conditionalFormatting sqref="H11:H11">
    <x:cfRule type="expression" dxfId="212" priority="41">
      <x:formula>AND(H11&lt;&gt;"",COUNTIFS(Milestones!$C$11:$C$210,H11,Milestones!$B$11:$B$210,"&lt;&gt;",Milestones!$F$11:$F$210,"&lt;&gt;Cancelled")&gt;0)</x:formula>
    </x:cfRule>
    <x:cfRule type="expression" dxfId="213" priority="42">
      <x:formula>AND(H11&lt;&gt;"",H11&lt;Milestones!$F$5,COUNTIFS(Milestones!$C$11:$C$210,H11,Milestones!$B$11:$B$210,"&lt;&gt;",Milestones!$F$11:$F$210,"&lt;&gt;Cancelled",Milestones!$F$11:$F$210,"&lt;&gt;Complete")&gt;0)</x:formula>
    </x:cfRule>
  </x:conditionalFormatting>
  <x:conditionalFormatting sqref="B12:B12">
    <x:cfRule type="expression" dxfId="214" priority="43">
      <x:formula>AND(B12&lt;&gt;"",COUNTIFS(Milestones!$C$11:$C$210,B12,Milestones!$B$11:$B$210,"&lt;&gt;",Milestones!$F$11:$F$210,"&lt;&gt;Cancelled")&gt;0)</x:formula>
    </x:cfRule>
    <x:cfRule type="expression" dxfId="215" priority="44">
      <x:formula>AND(B12&lt;&gt;"",B12&lt;Milestones!$F$5,COUNTIFS(Milestones!$C$11:$C$210,B12,Milestones!$B$11:$B$210,"&lt;&gt;",Milestones!$F$11:$F$210,"&lt;&gt;Cancelled",Milestones!$F$11:$F$210,"&lt;&gt;Complete")&gt;0)</x:formula>
    </x:cfRule>
  </x:conditionalFormatting>
  <x:conditionalFormatting sqref="C12:C12">
    <x:cfRule type="expression" dxfId="216" priority="45">
      <x:formula>AND(C12&lt;&gt;"",COUNTIFS(Milestones!$C$11:$C$210,C12,Milestones!$B$11:$B$210,"&lt;&gt;",Milestones!$F$11:$F$210,"&lt;&gt;Cancelled")&gt;0)</x:formula>
    </x:cfRule>
    <x:cfRule type="expression" dxfId="217" priority="46">
      <x:formula>AND(C12&lt;&gt;"",C12&lt;Milestones!$F$5,COUNTIFS(Milestones!$C$11:$C$210,C12,Milestones!$B$11:$B$210,"&lt;&gt;",Milestones!$F$11:$F$210,"&lt;&gt;Cancelled",Milestones!$F$11:$F$210,"&lt;&gt;Complete")&gt;0)</x:formula>
    </x:cfRule>
  </x:conditionalFormatting>
  <x:conditionalFormatting sqref="D12:D12">
    <x:cfRule type="expression" dxfId="218" priority="47">
      <x:formula>AND(D12&lt;&gt;"",COUNTIFS(Milestones!$C$11:$C$210,D12,Milestones!$B$11:$B$210,"&lt;&gt;",Milestones!$F$11:$F$210,"&lt;&gt;Cancelled")&gt;0)</x:formula>
    </x:cfRule>
    <x:cfRule type="expression" dxfId="219" priority="48">
      <x:formula>AND(D12&lt;&gt;"",D12&lt;Milestones!$F$5,COUNTIFS(Milestones!$C$11:$C$210,D12,Milestones!$B$11:$B$210,"&lt;&gt;",Milestones!$F$11:$F$210,"&lt;&gt;Cancelled",Milestones!$F$11:$F$210,"&lt;&gt;Complete")&gt;0)</x:formula>
    </x:cfRule>
  </x:conditionalFormatting>
  <x:conditionalFormatting sqref="E12:E12">
    <x:cfRule type="expression" dxfId="220" priority="49">
      <x:formula>AND(E12&lt;&gt;"",COUNTIFS(Milestones!$C$11:$C$210,E12,Milestones!$B$11:$B$210,"&lt;&gt;",Milestones!$F$11:$F$210,"&lt;&gt;Cancelled")&gt;0)</x:formula>
    </x:cfRule>
    <x:cfRule type="expression" dxfId="221" priority="50">
      <x:formula>AND(E12&lt;&gt;"",E12&lt;Milestones!$F$5,COUNTIFS(Milestones!$C$11:$C$210,E12,Milestones!$B$11:$B$210,"&lt;&gt;",Milestones!$F$11:$F$210,"&lt;&gt;Cancelled",Milestones!$F$11:$F$210,"&lt;&gt;Complete")&gt;0)</x:formula>
    </x:cfRule>
  </x:conditionalFormatting>
  <x:conditionalFormatting sqref="F12:F12">
    <x:cfRule type="expression" dxfId="222" priority="51">
      <x:formula>AND(F12&lt;&gt;"",COUNTIFS(Milestones!$C$11:$C$210,F12,Milestones!$B$11:$B$210,"&lt;&gt;",Milestones!$F$11:$F$210,"&lt;&gt;Cancelled")&gt;0)</x:formula>
    </x:cfRule>
    <x:cfRule type="expression" dxfId="223" priority="52">
      <x:formula>AND(F12&lt;&gt;"",F12&lt;Milestones!$F$5,COUNTIFS(Milestones!$C$11:$C$210,F12,Milestones!$B$11:$B$210,"&lt;&gt;",Milestones!$F$11:$F$210,"&lt;&gt;Cancelled",Milestones!$F$11:$F$210,"&lt;&gt;Complete")&gt;0)</x:formula>
    </x:cfRule>
  </x:conditionalFormatting>
  <x:conditionalFormatting sqref="G12:G12">
    <x:cfRule type="expression" dxfId="224" priority="53">
      <x:formula>AND(G12&lt;&gt;"",COUNTIFS(Milestones!$C$11:$C$210,G12,Milestones!$B$11:$B$210,"&lt;&gt;",Milestones!$F$11:$F$210,"&lt;&gt;Cancelled")&gt;0)</x:formula>
    </x:cfRule>
    <x:cfRule type="expression" dxfId="225" priority="54">
      <x:formula>AND(G12&lt;&gt;"",G12&lt;Milestones!$F$5,COUNTIFS(Milestones!$C$11:$C$210,G12,Milestones!$B$11:$B$210,"&lt;&gt;",Milestones!$F$11:$F$210,"&lt;&gt;Cancelled",Milestones!$F$11:$F$210,"&lt;&gt;Complete")&gt;0)</x:formula>
    </x:cfRule>
  </x:conditionalFormatting>
  <x:conditionalFormatting sqref="H12:H12">
    <x:cfRule type="expression" dxfId="226" priority="55">
      <x:formula>AND(H12&lt;&gt;"",COUNTIFS(Milestones!$C$11:$C$210,H12,Milestones!$B$11:$B$210,"&lt;&gt;",Milestones!$F$11:$F$210,"&lt;&gt;Cancelled")&gt;0)</x:formula>
    </x:cfRule>
    <x:cfRule type="expression" dxfId="227" priority="56">
      <x:formula>AND(H12&lt;&gt;"",H12&lt;Milestones!$F$5,COUNTIFS(Milestones!$C$11:$C$210,H12,Milestones!$B$11:$B$210,"&lt;&gt;",Milestones!$F$11:$F$210,"&lt;&gt;Cancelled",Milestones!$F$11:$F$210,"&lt;&gt;Complete")&gt;0)</x:formula>
    </x:cfRule>
  </x:conditionalFormatting>
  <x:conditionalFormatting sqref="B13:B13">
    <x:cfRule type="expression" dxfId="228" priority="57">
      <x:formula>AND(B13&lt;&gt;"",COUNTIFS(Milestones!$C$11:$C$210,B13,Milestones!$B$11:$B$210,"&lt;&gt;",Milestones!$F$11:$F$210,"&lt;&gt;Cancelled")&gt;0)</x:formula>
    </x:cfRule>
    <x:cfRule type="expression" dxfId="229" priority="58">
      <x:formula>AND(B13&lt;&gt;"",B13&lt;Milestones!$F$5,COUNTIFS(Milestones!$C$11:$C$210,B13,Milestones!$B$11:$B$210,"&lt;&gt;",Milestones!$F$11:$F$210,"&lt;&gt;Cancelled",Milestones!$F$11:$F$210,"&lt;&gt;Complete")&gt;0)</x:formula>
    </x:cfRule>
  </x:conditionalFormatting>
  <x:conditionalFormatting sqref="C13:C13">
    <x:cfRule type="expression" dxfId="230" priority="59">
      <x:formula>AND(C13&lt;&gt;"",COUNTIFS(Milestones!$C$11:$C$210,C13,Milestones!$B$11:$B$210,"&lt;&gt;",Milestones!$F$11:$F$210,"&lt;&gt;Cancelled")&gt;0)</x:formula>
    </x:cfRule>
    <x:cfRule type="expression" dxfId="231" priority="60">
      <x:formula>AND(C13&lt;&gt;"",C13&lt;Milestones!$F$5,COUNTIFS(Milestones!$C$11:$C$210,C13,Milestones!$B$11:$B$210,"&lt;&gt;",Milestones!$F$11:$F$210,"&lt;&gt;Cancelled",Milestones!$F$11:$F$210,"&lt;&gt;Complete")&gt;0)</x:formula>
    </x:cfRule>
  </x:conditionalFormatting>
  <x:conditionalFormatting sqref="D13:D13">
    <x:cfRule type="expression" dxfId="232" priority="61">
      <x:formula>AND(D13&lt;&gt;"",COUNTIFS(Milestones!$C$11:$C$210,D13,Milestones!$B$11:$B$210,"&lt;&gt;",Milestones!$F$11:$F$210,"&lt;&gt;Cancelled")&gt;0)</x:formula>
    </x:cfRule>
    <x:cfRule type="expression" dxfId="233" priority="62">
      <x:formula>AND(D13&lt;&gt;"",D13&lt;Milestones!$F$5,COUNTIFS(Milestones!$C$11:$C$210,D13,Milestones!$B$11:$B$210,"&lt;&gt;",Milestones!$F$11:$F$210,"&lt;&gt;Cancelled",Milestones!$F$11:$F$210,"&lt;&gt;Complete")&gt;0)</x:formula>
    </x:cfRule>
  </x:conditionalFormatting>
  <x:conditionalFormatting sqref="E13:E13">
    <x:cfRule type="expression" dxfId="234" priority="63">
      <x:formula>AND(E13&lt;&gt;"",COUNTIFS(Milestones!$C$11:$C$210,E13,Milestones!$B$11:$B$210,"&lt;&gt;",Milestones!$F$11:$F$210,"&lt;&gt;Cancelled")&gt;0)</x:formula>
    </x:cfRule>
    <x:cfRule type="expression" dxfId="235" priority="64">
      <x:formula>AND(E13&lt;&gt;"",E13&lt;Milestones!$F$5,COUNTIFS(Milestones!$C$11:$C$210,E13,Milestones!$B$11:$B$210,"&lt;&gt;",Milestones!$F$11:$F$210,"&lt;&gt;Cancelled",Milestones!$F$11:$F$210,"&lt;&gt;Complete")&gt;0)</x:formula>
    </x:cfRule>
  </x:conditionalFormatting>
  <x:conditionalFormatting sqref="F13:F13">
    <x:cfRule type="expression" dxfId="236" priority="65">
      <x:formula>AND(F13&lt;&gt;"",COUNTIFS(Milestones!$C$11:$C$210,F13,Milestones!$B$11:$B$210,"&lt;&gt;",Milestones!$F$11:$F$210,"&lt;&gt;Cancelled")&gt;0)</x:formula>
    </x:cfRule>
    <x:cfRule type="expression" dxfId="237" priority="66">
      <x:formula>AND(F13&lt;&gt;"",F13&lt;Milestones!$F$5,COUNTIFS(Milestones!$C$11:$C$210,F13,Milestones!$B$11:$B$210,"&lt;&gt;",Milestones!$F$11:$F$210,"&lt;&gt;Cancelled",Milestones!$F$11:$F$210,"&lt;&gt;Complete")&gt;0)</x:formula>
    </x:cfRule>
  </x:conditionalFormatting>
  <x:conditionalFormatting sqref="G13:G13">
    <x:cfRule type="expression" dxfId="238" priority="67">
      <x:formula>AND(G13&lt;&gt;"",COUNTIFS(Milestones!$C$11:$C$210,G13,Milestones!$B$11:$B$210,"&lt;&gt;",Milestones!$F$11:$F$210,"&lt;&gt;Cancelled")&gt;0)</x:formula>
    </x:cfRule>
    <x:cfRule type="expression" dxfId="239" priority="68">
      <x:formula>AND(G13&lt;&gt;"",G13&lt;Milestones!$F$5,COUNTIFS(Milestones!$C$11:$C$210,G13,Milestones!$B$11:$B$210,"&lt;&gt;",Milestones!$F$11:$F$210,"&lt;&gt;Cancelled",Milestones!$F$11:$F$210,"&lt;&gt;Complete")&gt;0)</x:formula>
    </x:cfRule>
  </x:conditionalFormatting>
  <x:conditionalFormatting sqref="H13:H13">
    <x:cfRule type="expression" dxfId="240" priority="69">
      <x:formula>AND(H13&lt;&gt;"",COUNTIFS(Milestones!$C$11:$C$210,H13,Milestones!$B$11:$B$210,"&lt;&gt;",Milestones!$F$11:$F$210,"&lt;&gt;Cancelled")&gt;0)</x:formula>
    </x:cfRule>
    <x:cfRule type="expression" dxfId="241" priority="70">
      <x:formula>AND(H13&lt;&gt;"",H13&lt;Milestones!$F$5,COUNTIFS(Milestones!$C$11:$C$210,H13,Milestones!$B$11:$B$210,"&lt;&gt;",Milestones!$F$11:$F$210,"&lt;&gt;Cancelled",Milestones!$F$11:$F$210,"&lt;&gt;Complete")&gt;0)</x:formula>
    </x:cfRule>
  </x:conditionalFormatting>
  <x:conditionalFormatting sqref="B14:B14">
    <x:cfRule type="expression" dxfId="242" priority="71">
      <x:formula>AND(B14&lt;&gt;"",COUNTIFS(Milestones!$C$11:$C$210,B14,Milestones!$B$11:$B$210,"&lt;&gt;",Milestones!$F$11:$F$210,"&lt;&gt;Cancelled")&gt;0)</x:formula>
    </x:cfRule>
    <x:cfRule type="expression" dxfId="243" priority="72">
      <x:formula>AND(B14&lt;&gt;"",B14&lt;Milestones!$F$5,COUNTIFS(Milestones!$C$11:$C$210,B14,Milestones!$B$11:$B$210,"&lt;&gt;",Milestones!$F$11:$F$210,"&lt;&gt;Cancelled",Milestones!$F$11:$F$210,"&lt;&gt;Complete")&gt;0)</x:formula>
    </x:cfRule>
  </x:conditionalFormatting>
  <x:conditionalFormatting sqref="C14:C14">
    <x:cfRule type="expression" dxfId="244" priority="73">
      <x:formula>AND(C14&lt;&gt;"",COUNTIFS(Milestones!$C$11:$C$210,C14,Milestones!$B$11:$B$210,"&lt;&gt;",Milestones!$F$11:$F$210,"&lt;&gt;Cancelled")&gt;0)</x:formula>
    </x:cfRule>
    <x:cfRule type="expression" dxfId="245" priority="74">
      <x:formula>AND(C14&lt;&gt;"",C14&lt;Milestones!$F$5,COUNTIFS(Milestones!$C$11:$C$210,C14,Milestones!$B$11:$B$210,"&lt;&gt;",Milestones!$F$11:$F$210,"&lt;&gt;Cancelled",Milestones!$F$11:$F$210,"&lt;&gt;Complete")&gt;0)</x:formula>
    </x:cfRule>
  </x:conditionalFormatting>
  <x:conditionalFormatting sqref="D14:D14">
    <x:cfRule type="expression" dxfId="246" priority="75">
      <x:formula>AND(D14&lt;&gt;"",COUNTIFS(Milestones!$C$11:$C$210,D14,Milestones!$B$11:$B$210,"&lt;&gt;",Milestones!$F$11:$F$210,"&lt;&gt;Cancelled")&gt;0)</x:formula>
    </x:cfRule>
    <x:cfRule type="expression" dxfId="247" priority="76">
      <x:formula>AND(D14&lt;&gt;"",D14&lt;Milestones!$F$5,COUNTIFS(Milestones!$C$11:$C$210,D14,Milestones!$B$11:$B$210,"&lt;&gt;",Milestones!$F$11:$F$210,"&lt;&gt;Cancelled",Milestones!$F$11:$F$210,"&lt;&gt;Complete")&gt;0)</x:formula>
    </x:cfRule>
  </x:conditionalFormatting>
  <x:conditionalFormatting sqref="E14:E14">
    <x:cfRule type="expression" dxfId="248" priority="77">
      <x:formula>AND(E14&lt;&gt;"",COUNTIFS(Milestones!$C$11:$C$210,E14,Milestones!$B$11:$B$210,"&lt;&gt;",Milestones!$F$11:$F$210,"&lt;&gt;Cancelled")&gt;0)</x:formula>
    </x:cfRule>
    <x:cfRule type="expression" dxfId="249" priority="78">
      <x:formula>AND(E14&lt;&gt;"",E14&lt;Milestones!$F$5,COUNTIFS(Milestones!$C$11:$C$210,E14,Milestones!$B$11:$B$210,"&lt;&gt;",Milestones!$F$11:$F$210,"&lt;&gt;Cancelled",Milestones!$F$11:$F$210,"&lt;&gt;Complete")&gt;0)</x:formula>
    </x:cfRule>
  </x:conditionalFormatting>
  <x:conditionalFormatting sqref="F14:F14">
    <x:cfRule type="expression" dxfId="250" priority="79">
      <x:formula>AND(F14&lt;&gt;"",COUNTIFS(Milestones!$C$11:$C$210,F14,Milestones!$B$11:$B$210,"&lt;&gt;",Milestones!$F$11:$F$210,"&lt;&gt;Cancelled")&gt;0)</x:formula>
    </x:cfRule>
    <x:cfRule type="expression" dxfId="251" priority="80">
      <x:formula>AND(F14&lt;&gt;"",F14&lt;Milestones!$F$5,COUNTIFS(Milestones!$C$11:$C$210,F14,Milestones!$B$11:$B$210,"&lt;&gt;",Milestones!$F$11:$F$210,"&lt;&gt;Cancelled",Milestones!$F$11:$F$210,"&lt;&gt;Complete")&gt;0)</x:formula>
    </x:cfRule>
  </x:conditionalFormatting>
  <x:conditionalFormatting sqref="G14:G14">
    <x:cfRule type="expression" dxfId="252" priority="81">
      <x:formula>AND(G14&lt;&gt;"",COUNTIFS(Milestones!$C$11:$C$210,G14,Milestones!$B$11:$B$210,"&lt;&gt;",Milestones!$F$11:$F$210,"&lt;&gt;Cancelled")&gt;0)</x:formula>
    </x:cfRule>
    <x:cfRule type="expression" dxfId="253" priority="82">
      <x:formula>AND(G14&lt;&gt;"",G14&lt;Milestones!$F$5,COUNTIFS(Milestones!$C$11:$C$210,G14,Milestones!$B$11:$B$210,"&lt;&gt;",Milestones!$F$11:$F$210,"&lt;&gt;Cancelled",Milestones!$F$11:$F$210,"&lt;&gt;Complete")&gt;0)</x:formula>
    </x:cfRule>
  </x:conditionalFormatting>
  <x:conditionalFormatting sqref="H14:H14">
    <x:cfRule type="expression" dxfId="254" priority="83">
      <x:formula>AND(H14&lt;&gt;"",COUNTIFS(Milestones!$C$11:$C$210,H14,Milestones!$B$11:$B$210,"&lt;&gt;",Milestones!$F$11:$F$210,"&lt;&gt;Cancelled")&gt;0)</x:formula>
    </x:cfRule>
    <x:cfRule type="expression" dxfId="255" priority="84">
      <x:formula>AND(H14&lt;&gt;"",H14&lt;Milestones!$F$5,COUNTIFS(Milestones!$C$11:$C$210,H14,Milestones!$B$11:$B$210,"&lt;&gt;",Milestones!$F$11:$F$210,"&lt;&gt;Cancelled",Milestones!$F$11:$F$210,"&lt;&gt;Complete")&gt;0)</x:formula>
    </x:cfRule>
  </x:conditionalFormatting>
  <x:conditionalFormatting sqref="J9:J9">
    <x:cfRule type="expression" dxfId="256" priority="85">
      <x:formula>AND(J9&lt;&gt;"",COUNTIFS(Milestones!$C$11:$C$210,J9,Milestones!$B$11:$B$210,"&lt;&gt;",Milestones!$F$11:$F$210,"&lt;&gt;Cancelled")&gt;0)</x:formula>
    </x:cfRule>
    <x:cfRule type="expression" dxfId="257" priority="86">
      <x:formula>AND(J9&lt;&gt;"",J9&lt;Milestones!$F$5,COUNTIFS(Milestones!$C$11:$C$210,J9,Milestones!$B$11:$B$210,"&lt;&gt;",Milestones!$F$11:$F$210,"&lt;&gt;Cancelled",Milestones!$F$11:$F$210,"&lt;&gt;Complete")&gt;0)</x:formula>
    </x:cfRule>
  </x:conditionalFormatting>
  <x:conditionalFormatting sqref="K9:K9">
    <x:cfRule type="expression" dxfId="258" priority="87">
      <x:formula>AND(K9&lt;&gt;"",COUNTIFS(Milestones!$C$11:$C$210,K9,Milestones!$B$11:$B$210,"&lt;&gt;",Milestones!$F$11:$F$210,"&lt;&gt;Cancelled")&gt;0)</x:formula>
    </x:cfRule>
    <x:cfRule type="expression" dxfId="259" priority="88">
      <x:formula>AND(K9&lt;&gt;"",K9&lt;Milestones!$F$5,COUNTIFS(Milestones!$C$11:$C$210,K9,Milestones!$B$11:$B$210,"&lt;&gt;",Milestones!$F$11:$F$210,"&lt;&gt;Cancelled",Milestones!$F$11:$F$210,"&lt;&gt;Complete")&gt;0)</x:formula>
    </x:cfRule>
  </x:conditionalFormatting>
  <x:conditionalFormatting sqref="L9:L9">
    <x:cfRule type="expression" dxfId="260" priority="89">
      <x:formula>AND(L9&lt;&gt;"",COUNTIFS(Milestones!$C$11:$C$210,L9,Milestones!$B$11:$B$210,"&lt;&gt;",Milestones!$F$11:$F$210,"&lt;&gt;Cancelled")&gt;0)</x:formula>
    </x:cfRule>
    <x:cfRule type="expression" dxfId="261" priority="90">
      <x:formula>AND(L9&lt;&gt;"",L9&lt;Milestones!$F$5,COUNTIFS(Milestones!$C$11:$C$210,L9,Milestones!$B$11:$B$210,"&lt;&gt;",Milestones!$F$11:$F$210,"&lt;&gt;Cancelled",Milestones!$F$11:$F$210,"&lt;&gt;Complete")&gt;0)</x:formula>
    </x:cfRule>
  </x:conditionalFormatting>
  <x:conditionalFormatting sqref="M9:M9">
    <x:cfRule type="expression" dxfId="262" priority="91">
      <x:formula>AND(M9&lt;&gt;"",COUNTIFS(Milestones!$C$11:$C$210,M9,Milestones!$B$11:$B$210,"&lt;&gt;",Milestones!$F$11:$F$210,"&lt;&gt;Cancelled")&gt;0)</x:formula>
    </x:cfRule>
    <x:cfRule type="expression" dxfId="263" priority="92">
      <x:formula>AND(M9&lt;&gt;"",M9&lt;Milestones!$F$5,COUNTIFS(Milestones!$C$11:$C$210,M9,Milestones!$B$11:$B$210,"&lt;&gt;",Milestones!$F$11:$F$210,"&lt;&gt;Cancelled",Milestones!$F$11:$F$210,"&lt;&gt;Complete")&gt;0)</x:formula>
    </x:cfRule>
  </x:conditionalFormatting>
  <x:conditionalFormatting sqref="N9:N9">
    <x:cfRule type="expression" dxfId="264" priority="93">
      <x:formula>AND(N9&lt;&gt;"",COUNTIFS(Milestones!$C$11:$C$210,N9,Milestones!$B$11:$B$210,"&lt;&gt;",Milestones!$F$11:$F$210,"&lt;&gt;Cancelled")&gt;0)</x:formula>
    </x:cfRule>
    <x:cfRule type="expression" dxfId="265" priority="94">
      <x:formula>AND(N9&lt;&gt;"",N9&lt;Milestones!$F$5,COUNTIFS(Milestones!$C$11:$C$210,N9,Milestones!$B$11:$B$210,"&lt;&gt;",Milestones!$F$11:$F$210,"&lt;&gt;Cancelled",Milestones!$F$11:$F$210,"&lt;&gt;Complete")&gt;0)</x:formula>
    </x:cfRule>
  </x:conditionalFormatting>
  <x:conditionalFormatting sqref="O9:O9">
    <x:cfRule type="expression" dxfId="266" priority="95">
      <x:formula>AND(O9&lt;&gt;"",COUNTIFS(Milestones!$C$11:$C$210,O9,Milestones!$B$11:$B$210,"&lt;&gt;",Milestones!$F$11:$F$210,"&lt;&gt;Cancelled")&gt;0)</x:formula>
    </x:cfRule>
    <x:cfRule type="expression" dxfId="267" priority="96">
      <x:formula>AND(O9&lt;&gt;"",O9&lt;Milestones!$F$5,COUNTIFS(Milestones!$C$11:$C$210,O9,Milestones!$B$11:$B$210,"&lt;&gt;",Milestones!$F$11:$F$210,"&lt;&gt;Cancelled",Milestones!$F$11:$F$210,"&lt;&gt;Complete")&gt;0)</x:formula>
    </x:cfRule>
  </x:conditionalFormatting>
  <x:conditionalFormatting sqref="P9:P9">
    <x:cfRule type="expression" dxfId="268" priority="97">
      <x:formula>AND(P9&lt;&gt;"",COUNTIFS(Milestones!$C$11:$C$210,P9,Milestones!$B$11:$B$210,"&lt;&gt;",Milestones!$F$11:$F$210,"&lt;&gt;Cancelled")&gt;0)</x:formula>
    </x:cfRule>
    <x:cfRule type="expression" dxfId="269" priority="98">
      <x:formula>AND(P9&lt;&gt;"",P9&lt;Milestones!$F$5,COUNTIFS(Milestones!$C$11:$C$210,P9,Milestones!$B$11:$B$210,"&lt;&gt;",Milestones!$F$11:$F$210,"&lt;&gt;Cancelled",Milestones!$F$11:$F$210,"&lt;&gt;Complete")&gt;0)</x:formula>
    </x:cfRule>
  </x:conditionalFormatting>
  <x:conditionalFormatting sqref="J10:J10">
    <x:cfRule type="expression" dxfId="270" priority="99">
      <x:formula>AND(J10&lt;&gt;"",COUNTIFS(Milestones!$C$11:$C$210,J10,Milestones!$B$11:$B$210,"&lt;&gt;",Milestones!$F$11:$F$210,"&lt;&gt;Cancelled")&gt;0)</x:formula>
    </x:cfRule>
    <x:cfRule type="expression" dxfId="271" priority="100">
      <x:formula>AND(J10&lt;&gt;"",J10&lt;Milestones!$F$5,COUNTIFS(Milestones!$C$11:$C$210,J10,Milestones!$B$11:$B$210,"&lt;&gt;",Milestones!$F$11:$F$210,"&lt;&gt;Cancelled",Milestones!$F$11:$F$210,"&lt;&gt;Complete")&gt;0)</x:formula>
    </x:cfRule>
  </x:conditionalFormatting>
  <x:conditionalFormatting sqref="K10:K10">
    <x:cfRule type="expression" dxfId="272" priority="101">
      <x:formula>AND(K10&lt;&gt;"",COUNTIFS(Milestones!$C$11:$C$210,K10,Milestones!$B$11:$B$210,"&lt;&gt;",Milestones!$F$11:$F$210,"&lt;&gt;Cancelled")&gt;0)</x:formula>
    </x:cfRule>
    <x:cfRule type="expression" dxfId="273" priority="102">
      <x:formula>AND(K10&lt;&gt;"",K10&lt;Milestones!$F$5,COUNTIFS(Milestones!$C$11:$C$210,K10,Milestones!$B$11:$B$210,"&lt;&gt;",Milestones!$F$11:$F$210,"&lt;&gt;Cancelled",Milestones!$F$11:$F$210,"&lt;&gt;Complete")&gt;0)</x:formula>
    </x:cfRule>
  </x:conditionalFormatting>
  <x:conditionalFormatting sqref="L10:L10">
    <x:cfRule type="expression" dxfId="274" priority="103">
      <x:formula>AND(L10&lt;&gt;"",COUNTIFS(Milestones!$C$11:$C$210,L10,Milestones!$B$11:$B$210,"&lt;&gt;",Milestones!$F$11:$F$210,"&lt;&gt;Cancelled")&gt;0)</x:formula>
    </x:cfRule>
    <x:cfRule type="expression" dxfId="275" priority="104">
      <x:formula>AND(L10&lt;&gt;"",L10&lt;Milestones!$F$5,COUNTIFS(Milestones!$C$11:$C$210,L10,Milestones!$B$11:$B$210,"&lt;&gt;",Milestones!$F$11:$F$210,"&lt;&gt;Cancelled",Milestones!$F$11:$F$210,"&lt;&gt;Complete")&gt;0)</x:formula>
    </x:cfRule>
  </x:conditionalFormatting>
  <x:conditionalFormatting sqref="M10:M10">
    <x:cfRule type="expression" dxfId="276" priority="105">
      <x:formula>AND(M10&lt;&gt;"",COUNTIFS(Milestones!$C$11:$C$210,M10,Milestones!$B$11:$B$210,"&lt;&gt;",Milestones!$F$11:$F$210,"&lt;&gt;Cancelled")&gt;0)</x:formula>
    </x:cfRule>
    <x:cfRule type="expression" dxfId="277" priority="106">
      <x:formula>AND(M10&lt;&gt;"",M10&lt;Milestones!$F$5,COUNTIFS(Milestones!$C$11:$C$210,M10,Milestones!$B$11:$B$210,"&lt;&gt;",Milestones!$F$11:$F$210,"&lt;&gt;Cancelled",Milestones!$F$11:$F$210,"&lt;&gt;Complete")&gt;0)</x:formula>
    </x:cfRule>
  </x:conditionalFormatting>
  <x:conditionalFormatting sqref="N10:N10">
    <x:cfRule type="expression" dxfId="278" priority="107">
      <x:formula>AND(N10&lt;&gt;"",COUNTIFS(Milestones!$C$11:$C$210,N10,Milestones!$B$11:$B$210,"&lt;&gt;",Milestones!$F$11:$F$210,"&lt;&gt;Cancelled")&gt;0)</x:formula>
    </x:cfRule>
    <x:cfRule type="expression" dxfId="279" priority="108">
      <x:formula>AND(N10&lt;&gt;"",N10&lt;Milestones!$F$5,COUNTIFS(Milestones!$C$11:$C$210,N10,Milestones!$B$11:$B$210,"&lt;&gt;",Milestones!$F$11:$F$210,"&lt;&gt;Cancelled",Milestones!$F$11:$F$210,"&lt;&gt;Complete")&gt;0)</x:formula>
    </x:cfRule>
  </x:conditionalFormatting>
  <x:conditionalFormatting sqref="O10:O10">
    <x:cfRule type="expression" dxfId="280" priority="109">
      <x:formula>AND(O10&lt;&gt;"",COUNTIFS(Milestones!$C$11:$C$210,O10,Milestones!$B$11:$B$210,"&lt;&gt;",Milestones!$F$11:$F$210,"&lt;&gt;Cancelled")&gt;0)</x:formula>
    </x:cfRule>
    <x:cfRule type="expression" dxfId="281" priority="110">
      <x:formula>AND(O10&lt;&gt;"",O10&lt;Milestones!$F$5,COUNTIFS(Milestones!$C$11:$C$210,O10,Milestones!$B$11:$B$210,"&lt;&gt;",Milestones!$F$11:$F$210,"&lt;&gt;Cancelled",Milestones!$F$11:$F$210,"&lt;&gt;Complete")&gt;0)</x:formula>
    </x:cfRule>
  </x:conditionalFormatting>
  <x:conditionalFormatting sqref="P10:P10">
    <x:cfRule type="expression" dxfId="282" priority="111">
      <x:formula>AND(P10&lt;&gt;"",COUNTIFS(Milestones!$C$11:$C$210,P10,Milestones!$B$11:$B$210,"&lt;&gt;",Milestones!$F$11:$F$210,"&lt;&gt;Cancelled")&gt;0)</x:formula>
    </x:cfRule>
    <x:cfRule type="expression" dxfId="283" priority="112">
      <x:formula>AND(P10&lt;&gt;"",P10&lt;Milestones!$F$5,COUNTIFS(Milestones!$C$11:$C$210,P10,Milestones!$B$11:$B$210,"&lt;&gt;",Milestones!$F$11:$F$210,"&lt;&gt;Cancelled",Milestones!$F$11:$F$210,"&lt;&gt;Complete")&gt;0)</x:formula>
    </x:cfRule>
  </x:conditionalFormatting>
  <x:conditionalFormatting sqref="J11:J11">
    <x:cfRule type="expression" dxfId="284" priority="113">
      <x:formula>AND(J11&lt;&gt;"",COUNTIFS(Milestones!$C$11:$C$210,J11,Milestones!$B$11:$B$210,"&lt;&gt;",Milestones!$F$11:$F$210,"&lt;&gt;Cancelled")&gt;0)</x:formula>
    </x:cfRule>
    <x:cfRule type="expression" dxfId="285" priority="114">
      <x:formula>AND(J11&lt;&gt;"",J11&lt;Milestones!$F$5,COUNTIFS(Milestones!$C$11:$C$210,J11,Milestones!$B$11:$B$210,"&lt;&gt;",Milestones!$F$11:$F$210,"&lt;&gt;Cancelled",Milestones!$F$11:$F$210,"&lt;&gt;Complete")&gt;0)</x:formula>
    </x:cfRule>
  </x:conditionalFormatting>
  <x:conditionalFormatting sqref="K11:K11">
    <x:cfRule type="expression" dxfId="286" priority="115">
      <x:formula>AND(K11&lt;&gt;"",COUNTIFS(Milestones!$C$11:$C$210,K11,Milestones!$B$11:$B$210,"&lt;&gt;",Milestones!$F$11:$F$210,"&lt;&gt;Cancelled")&gt;0)</x:formula>
    </x:cfRule>
    <x:cfRule type="expression" dxfId="287" priority="116">
      <x:formula>AND(K11&lt;&gt;"",K11&lt;Milestones!$F$5,COUNTIFS(Milestones!$C$11:$C$210,K11,Milestones!$B$11:$B$210,"&lt;&gt;",Milestones!$F$11:$F$210,"&lt;&gt;Cancelled",Milestones!$F$11:$F$210,"&lt;&gt;Complete")&gt;0)</x:formula>
    </x:cfRule>
  </x:conditionalFormatting>
  <x:conditionalFormatting sqref="L11:L11">
    <x:cfRule type="expression" dxfId="288" priority="117">
      <x:formula>AND(L11&lt;&gt;"",COUNTIFS(Milestones!$C$11:$C$210,L11,Milestones!$B$11:$B$210,"&lt;&gt;",Milestones!$F$11:$F$210,"&lt;&gt;Cancelled")&gt;0)</x:formula>
    </x:cfRule>
    <x:cfRule type="expression" dxfId="289" priority="118">
      <x:formula>AND(L11&lt;&gt;"",L11&lt;Milestones!$F$5,COUNTIFS(Milestones!$C$11:$C$210,L11,Milestones!$B$11:$B$210,"&lt;&gt;",Milestones!$F$11:$F$210,"&lt;&gt;Cancelled",Milestones!$F$11:$F$210,"&lt;&gt;Complete")&gt;0)</x:formula>
    </x:cfRule>
  </x:conditionalFormatting>
  <x:conditionalFormatting sqref="M11:M11">
    <x:cfRule type="expression" dxfId="290" priority="119">
      <x:formula>AND(M11&lt;&gt;"",COUNTIFS(Milestones!$C$11:$C$210,M11,Milestones!$B$11:$B$210,"&lt;&gt;",Milestones!$F$11:$F$210,"&lt;&gt;Cancelled")&gt;0)</x:formula>
    </x:cfRule>
    <x:cfRule type="expression" dxfId="291" priority="120">
      <x:formula>AND(M11&lt;&gt;"",M11&lt;Milestones!$F$5,COUNTIFS(Milestones!$C$11:$C$210,M11,Milestones!$B$11:$B$210,"&lt;&gt;",Milestones!$F$11:$F$210,"&lt;&gt;Cancelled",Milestones!$F$11:$F$210,"&lt;&gt;Complete")&gt;0)</x:formula>
    </x:cfRule>
  </x:conditionalFormatting>
  <x:conditionalFormatting sqref="N11:N11">
    <x:cfRule type="expression" dxfId="292" priority="121">
      <x:formula>AND(N11&lt;&gt;"",COUNTIFS(Milestones!$C$11:$C$210,N11,Milestones!$B$11:$B$210,"&lt;&gt;",Milestones!$F$11:$F$210,"&lt;&gt;Cancelled")&gt;0)</x:formula>
    </x:cfRule>
    <x:cfRule type="expression" dxfId="293" priority="122">
      <x:formula>AND(N11&lt;&gt;"",N11&lt;Milestones!$F$5,COUNTIFS(Milestones!$C$11:$C$210,N11,Milestones!$B$11:$B$210,"&lt;&gt;",Milestones!$F$11:$F$210,"&lt;&gt;Cancelled",Milestones!$F$11:$F$210,"&lt;&gt;Complete")&gt;0)</x:formula>
    </x:cfRule>
  </x:conditionalFormatting>
  <x:conditionalFormatting sqref="O11:O11">
    <x:cfRule type="expression" dxfId="294" priority="123">
      <x:formula>AND(O11&lt;&gt;"",COUNTIFS(Milestones!$C$11:$C$210,O11,Milestones!$B$11:$B$210,"&lt;&gt;",Milestones!$F$11:$F$210,"&lt;&gt;Cancelled")&gt;0)</x:formula>
    </x:cfRule>
    <x:cfRule type="expression" dxfId="295" priority="124">
      <x:formula>AND(O11&lt;&gt;"",O11&lt;Milestones!$F$5,COUNTIFS(Milestones!$C$11:$C$210,O11,Milestones!$B$11:$B$210,"&lt;&gt;",Milestones!$F$11:$F$210,"&lt;&gt;Cancelled",Milestones!$F$11:$F$210,"&lt;&gt;Complete")&gt;0)</x:formula>
    </x:cfRule>
  </x:conditionalFormatting>
  <x:conditionalFormatting sqref="P11:P11">
    <x:cfRule type="expression" dxfId="296" priority="125">
      <x:formula>AND(P11&lt;&gt;"",COUNTIFS(Milestones!$C$11:$C$210,P11,Milestones!$B$11:$B$210,"&lt;&gt;",Milestones!$F$11:$F$210,"&lt;&gt;Cancelled")&gt;0)</x:formula>
    </x:cfRule>
    <x:cfRule type="expression" dxfId="297" priority="126">
      <x:formula>AND(P11&lt;&gt;"",P11&lt;Milestones!$F$5,COUNTIFS(Milestones!$C$11:$C$210,P11,Milestones!$B$11:$B$210,"&lt;&gt;",Milestones!$F$11:$F$210,"&lt;&gt;Cancelled",Milestones!$F$11:$F$210,"&lt;&gt;Complete")&gt;0)</x:formula>
    </x:cfRule>
  </x:conditionalFormatting>
  <x:conditionalFormatting sqref="J12:J12">
    <x:cfRule type="expression" dxfId="298" priority="127">
      <x:formula>AND(J12&lt;&gt;"",COUNTIFS(Milestones!$C$11:$C$210,J12,Milestones!$B$11:$B$210,"&lt;&gt;",Milestones!$F$11:$F$210,"&lt;&gt;Cancelled")&gt;0)</x:formula>
    </x:cfRule>
    <x:cfRule type="expression" dxfId="299" priority="128">
      <x:formula>AND(J12&lt;&gt;"",J12&lt;Milestones!$F$5,COUNTIFS(Milestones!$C$11:$C$210,J12,Milestones!$B$11:$B$210,"&lt;&gt;",Milestones!$F$11:$F$210,"&lt;&gt;Cancelled",Milestones!$F$11:$F$210,"&lt;&gt;Complete")&gt;0)</x:formula>
    </x:cfRule>
  </x:conditionalFormatting>
  <x:conditionalFormatting sqref="K12:K12">
    <x:cfRule type="expression" dxfId="300" priority="129">
      <x:formula>AND(K12&lt;&gt;"",COUNTIFS(Milestones!$C$11:$C$210,K12,Milestones!$B$11:$B$210,"&lt;&gt;",Milestones!$F$11:$F$210,"&lt;&gt;Cancelled")&gt;0)</x:formula>
    </x:cfRule>
    <x:cfRule type="expression" dxfId="301" priority="130">
      <x:formula>AND(K12&lt;&gt;"",K12&lt;Milestones!$F$5,COUNTIFS(Milestones!$C$11:$C$210,K12,Milestones!$B$11:$B$210,"&lt;&gt;",Milestones!$F$11:$F$210,"&lt;&gt;Cancelled",Milestones!$F$11:$F$210,"&lt;&gt;Complete")&gt;0)</x:formula>
    </x:cfRule>
  </x:conditionalFormatting>
  <x:conditionalFormatting sqref="L12:L12">
    <x:cfRule type="expression" dxfId="302" priority="131">
      <x:formula>AND(L12&lt;&gt;"",COUNTIFS(Milestones!$C$11:$C$210,L12,Milestones!$B$11:$B$210,"&lt;&gt;",Milestones!$F$11:$F$210,"&lt;&gt;Cancelled")&gt;0)</x:formula>
    </x:cfRule>
    <x:cfRule type="expression" dxfId="303" priority="132">
      <x:formula>AND(L12&lt;&gt;"",L12&lt;Milestones!$F$5,COUNTIFS(Milestones!$C$11:$C$210,L12,Milestones!$B$11:$B$210,"&lt;&gt;",Milestones!$F$11:$F$210,"&lt;&gt;Cancelled",Milestones!$F$11:$F$210,"&lt;&gt;Complete")&gt;0)</x:formula>
    </x:cfRule>
  </x:conditionalFormatting>
  <x:conditionalFormatting sqref="M12:M12">
    <x:cfRule type="expression" dxfId="304" priority="133">
      <x:formula>AND(M12&lt;&gt;"",COUNTIFS(Milestones!$C$11:$C$210,M12,Milestones!$B$11:$B$210,"&lt;&gt;",Milestones!$F$11:$F$210,"&lt;&gt;Cancelled")&gt;0)</x:formula>
    </x:cfRule>
    <x:cfRule type="expression" dxfId="305" priority="134">
      <x:formula>AND(M12&lt;&gt;"",M12&lt;Milestones!$F$5,COUNTIFS(Milestones!$C$11:$C$210,M12,Milestones!$B$11:$B$210,"&lt;&gt;",Milestones!$F$11:$F$210,"&lt;&gt;Cancelled",Milestones!$F$11:$F$210,"&lt;&gt;Complete")&gt;0)</x:formula>
    </x:cfRule>
  </x:conditionalFormatting>
  <x:conditionalFormatting sqref="N12:N12">
    <x:cfRule type="expression" dxfId="306" priority="135">
      <x:formula>AND(N12&lt;&gt;"",COUNTIFS(Milestones!$C$11:$C$210,N12,Milestones!$B$11:$B$210,"&lt;&gt;",Milestones!$F$11:$F$210,"&lt;&gt;Cancelled")&gt;0)</x:formula>
    </x:cfRule>
    <x:cfRule type="expression" dxfId="307" priority="136">
      <x:formula>AND(N12&lt;&gt;"",N12&lt;Milestones!$F$5,COUNTIFS(Milestones!$C$11:$C$210,N12,Milestones!$B$11:$B$210,"&lt;&gt;",Milestones!$F$11:$F$210,"&lt;&gt;Cancelled",Milestones!$F$11:$F$210,"&lt;&gt;Complete")&gt;0)</x:formula>
    </x:cfRule>
  </x:conditionalFormatting>
  <x:conditionalFormatting sqref="O12:O12">
    <x:cfRule type="expression" dxfId="308" priority="137">
      <x:formula>AND(O12&lt;&gt;"",COUNTIFS(Milestones!$C$11:$C$210,O12,Milestones!$B$11:$B$210,"&lt;&gt;",Milestones!$F$11:$F$210,"&lt;&gt;Cancelled")&gt;0)</x:formula>
    </x:cfRule>
    <x:cfRule type="expression" dxfId="309" priority="138">
      <x:formula>AND(O12&lt;&gt;"",O12&lt;Milestones!$F$5,COUNTIFS(Milestones!$C$11:$C$210,O12,Milestones!$B$11:$B$210,"&lt;&gt;",Milestones!$F$11:$F$210,"&lt;&gt;Cancelled",Milestones!$F$11:$F$210,"&lt;&gt;Complete")&gt;0)</x:formula>
    </x:cfRule>
  </x:conditionalFormatting>
  <x:conditionalFormatting sqref="P12:P12">
    <x:cfRule type="expression" dxfId="310" priority="139">
      <x:formula>AND(P12&lt;&gt;"",COUNTIFS(Milestones!$C$11:$C$210,P12,Milestones!$B$11:$B$210,"&lt;&gt;",Milestones!$F$11:$F$210,"&lt;&gt;Cancelled")&gt;0)</x:formula>
    </x:cfRule>
    <x:cfRule type="expression" dxfId="311" priority="140">
      <x:formula>AND(P12&lt;&gt;"",P12&lt;Milestones!$F$5,COUNTIFS(Milestones!$C$11:$C$210,P12,Milestones!$B$11:$B$210,"&lt;&gt;",Milestones!$F$11:$F$210,"&lt;&gt;Cancelled",Milestones!$F$11:$F$210,"&lt;&gt;Complete")&gt;0)</x:formula>
    </x:cfRule>
  </x:conditionalFormatting>
  <x:conditionalFormatting sqref="J13:J13">
    <x:cfRule type="expression" dxfId="312" priority="141">
      <x:formula>AND(J13&lt;&gt;"",COUNTIFS(Milestones!$C$11:$C$210,J13,Milestones!$B$11:$B$210,"&lt;&gt;",Milestones!$F$11:$F$210,"&lt;&gt;Cancelled")&gt;0)</x:formula>
    </x:cfRule>
    <x:cfRule type="expression" dxfId="313" priority="142">
      <x:formula>AND(J13&lt;&gt;"",J13&lt;Milestones!$F$5,COUNTIFS(Milestones!$C$11:$C$210,J13,Milestones!$B$11:$B$210,"&lt;&gt;",Milestones!$F$11:$F$210,"&lt;&gt;Cancelled",Milestones!$F$11:$F$210,"&lt;&gt;Complete")&gt;0)</x:formula>
    </x:cfRule>
  </x:conditionalFormatting>
  <x:conditionalFormatting sqref="K13:K13">
    <x:cfRule type="expression" dxfId="314" priority="143">
      <x:formula>AND(K13&lt;&gt;"",COUNTIFS(Milestones!$C$11:$C$210,K13,Milestones!$B$11:$B$210,"&lt;&gt;",Milestones!$F$11:$F$210,"&lt;&gt;Cancelled")&gt;0)</x:formula>
    </x:cfRule>
    <x:cfRule type="expression" dxfId="315" priority="144">
      <x:formula>AND(K13&lt;&gt;"",K13&lt;Milestones!$F$5,COUNTIFS(Milestones!$C$11:$C$210,K13,Milestones!$B$11:$B$210,"&lt;&gt;",Milestones!$F$11:$F$210,"&lt;&gt;Cancelled",Milestones!$F$11:$F$210,"&lt;&gt;Complete")&gt;0)</x:formula>
    </x:cfRule>
  </x:conditionalFormatting>
  <x:conditionalFormatting sqref="L13:L13">
    <x:cfRule type="expression" dxfId="316" priority="145">
      <x:formula>AND(L13&lt;&gt;"",COUNTIFS(Milestones!$C$11:$C$210,L13,Milestones!$B$11:$B$210,"&lt;&gt;",Milestones!$F$11:$F$210,"&lt;&gt;Cancelled")&gt;0)</x:formula>
    </x:cfRule>
    <x:cfRule type="expression" dxfId="317" priority="146">
      <x:formula>AND(L13&lt;&gt;"",L13&lt;Milestones!$F$5,COUNTIFS(Milestones!$C$11:$C$210,L13,Milestones!$B$11:$B$210,"&lt;&gt;",Milestones!$F$11:$F$210,"&lt;&gt;Cancelled",Milestones!$F$11:$F$210,"&lt;&gt;Complete")&gt;0)</x:formula>
    </x:cfRule>
  </x:conditionalFormatting>
  <x:conditionalFormatting sqref="M13:M13">
    <x:cfRule type="expression" dxfId="318" priority="147">
      <x:formula>AND(M13&lt;&gt;"",COUNTIFS(Milestones!$C$11:$C$210,M13,Milestones!$B$11:$B$210,"&lt;&gt;",Milestones!$F$11:$F$210,"&lt;&gt;Cancelled")&gt;0)</x:formula>
    </x:cfRule>
    <x:cfRule type="expression" dxfId="319" priority="148">
      <x:formula>AND(M13&lt;&gt;"",M13&lt;Milestones!$F$5,COUNTIFS(Milestones!$C$11:$C$210,M13,Milestones!$B$11:$B$210,"&lt;&gt;",Milestones!$F$11:$F$210,"&lt;&gt;Cancelled",Milestones!$F$11:$F$210,"&lt;&gt;Complete")&gt;0)</x:formula>
    </x:cfRule>
  </x:conditionalFormatting>
  <x:conditionalFormatting sqref="N13:N13">
    <x:cfRule type="expression" dxfId="320" priority="149">
      <x:formula>AND(N13&lt;&gt;"",COUNTIFS(Milestones!$C$11:$C$210,N13,Milestones!$B$11:$B$210,"&lt;&gt;",Milestones!$F$11:$F$210,"&lt;&gt;Cancelled")&gt;0)</x:formula>
    </x:cfRule>
    <x:cfRule type="expression" dxfId="321" priority="150">
      <x:formula>AND(N13&lt;&gt;"",N13&lt;Milestones!$F$5,COUNTIFS(Milestones!$C$11:$C$210,N13,Milestones!$B$11:$B$210,"&lt;&gt;",Milestones!$F$11:$F$210,"&lt;&gt;Cancelled",Milestones!$F$11:$F$210,"&lt;&gt;Complete")&gt;0)</x:formula>
    </x:cfRule>
  </x:conditionalFormatting>
  <x:conditionalFormatting sqref="O13:O13">
    <x:cfRule type="expression" dxfId="322" priority="151">
      <x:formula>AND(O13&lt;&gt;"",COUNTIFS(Milestones!$C$11:$C$210,O13,Milestones!$B$11:$B$210,"&lt;&gt;",Milestones!$F$11:$F$210,"&lt;&gt;Cancelled")&gt;0)</x:formula>
    </x:cfRule>
    <x:cfRule type="expression" dxfId="323" priority="152">
      <x:formula>AND(O13&lt;&gt;"",O13&lt;Milestones!$F$5,COUNTIFS(Milestones!$C$11:$C$210,O13,Milestones!$B$11:$B$210,"&lt;&gt;",Milestones!$F$11:$F$210,"&lt;&gt;Cancelled",Milestones!$F$11:$F$210,"&lt;&gt;Complete")&gt;0)</x:formula>
    </x:cfRule>
  </x:conditionalFormatting>
  <x:conditionalFormatting sqref="P13:P13">
    <x:cfRule type="expression" dxfId="324" priority="153">
      <x:formula>AND(P13&lt;&gt;"",COUNTIFS(Milestones!$C$11:$C$210,P13,Milestones!$B$11:$B$210,"&lt;&gt;",Milestones!$F$11:$F$210,"&lt;&gt;Cancelled")&gt;0)</x:formula>
    </x:cfRule>
    <x:cfRule type="expression" dxfId="325" priority="154">
      <x:formula>AND(P13&lt;&gt;"",P13&lt;Milestones!$F$5,COUNTIFS(Milestones!$C$11:$C$210,P13,Milestones!$B$11:$B$210,"&lt;&gt;",Milestones!$F$11:$F$210,"&lt;&gt;Cancelled",Milestones!$F$11:$F$210,"&lt;&gt;Complete")&gt;0)</x:formula>
    </x:cfRule>
  </x:conditionalFormatting>
  <x:conditionalFormatting sqref="J14:J14">
    <x:cfRule type="expression" dxfId="326" priority="155">
      <x:formula>AND(J14&lt;&gt;"",COUNTIFS(Milestones!$C$11:$C$210,J14,Milestones!$B$11:$B$210,"&lt;&gt;",Milestones!$F$11:$F$210,"&lt;&gt;Cancelled")&gt;0)</x:formula>
    </x:cfRule>
    <x:cfRule type="expression" dxfId="327" priority="156">
      <x:formula>AND(J14&lt;&gt;"",J14&lt;Milestones!$F$5,COUNTIFS(Milestones!$C$11:$C$210,J14,Milestones!$B$11:$B$210,"&lt;&gt;",Milestones!$F$11:$F$210,"&lt;&gt;Cancelled",Milestones!$F$11:$F$210,"&lt;&gt;Complete")&gt;0)</x:formula>
    </x:cfRule>
  </x:conditionalFormatting>
  <x:conditionalFormatting sqref="K14:K14">
    <x:cfRule type="expression" dxfId="328" priority="157">
      <x:formula>AND(K14&lt;&gt;"",COUNTIFS(Milestones!$C$11:$C$210,K14,Milestones!$B$11:$B$210,"&lt;&gt;",Milestones!$F$11:$F$210,"&lt;&gt;Cancelled")&gt;0)</x:formula>
    </x:cfRule>
    <x:cfRule type="expression" dxfId="329" priority="158">
      <x:formula>AND(K14&lt;&gt;"",K14&lt;Milestones!$F$5,COUNTIFS(Milestones!$C$11:$C$210,K14,Milestones!$B$11:$B$210,"&lt;&gt;",Milestones!$F$11:$F$210,"&lt;&gt;Cancelled",Milestones!$F$11:$F$210,"&lt;&gt;Complete")&gt;0)</x:formula>
    </x:cfRule>
  </x:conditionalFormatting>
  <x:conditionalFormatting sqref="L14:L14">
    <x:cfRule type="expression" dxfId="330" priority="159">
      <x:formula>AND(L14&lt;&gt;"",COUNTIFS(Milestones!$C$11:$C$210,L14,Milestones!$B$11:$B$210,"&lt;&gt;",Milestones!$F$11:$F$210,"&lt;&gt;Cancelled")&gt;0)</x:formula>
    </x:cfRule>
    <x:cfRule type="expression" dxfId="331" priority="160">
      <x:formula>AND(L14&lt;&gt;"",L14&lt;Milestones!$F$5,COUNTIFS(Milestones!$C$11:$C$210,L14,Milestones!$B$11:$B$210,"&lt;&gt;",Milestones!$F$11:$F$210,"&lt;&gt;Cancelled",Milestones!$F$11:$F$210,"&lt;&gt;Complete")&gt;0)</x:formula>
    </x:cfRule>
  </x:conditionalFormatting>
  <x:conditionalFormatting sqref="M14:M14">
    <x:cfRule type="expression" dxfId="332" priority="161">
      <x:formula>AND(M14&lt;&gt;"",COUNTIFS(Milestones!$C$11:$C$210,M14,Milestones!$B$11:$B$210,"&lt;&gt;",Milestones!$F$11:$F$210,"&lt;&gt;Cancelled")&gt;0)</x:formula>
    </x:cfRule>
    <x:cfRule type="expression" dxfId="333" priority="162">
      <x:formula>AND(M14&lt;&gt;"",M14&lt;Milestones!$F$5,COUNTIFS(Milestones!$C$11:$C$210,M14,Milestones!$B$11:$B$210,"&lt;&gt;",Milestones!$F$11:$F$210,"&lt;&gt;Cancelled",Milestones!$F$11:$F$210,"&lt;&gt;Complete")&gt;0)</x:formula>
    </x:cfRule>
  </x:conditionalFormatting>
  <x:conditionalFormatting sqref="N14:N14">
    <x:cfRule type="expression" dxfId="334" priority="163">
      <x:formula>AND(N14&lt;&gt;"",COUNTIFS(Milestones!$C$11:$C$210,N14,Milestones!$B$11:$B$210,"&lt;&gt;",Milestones!$F$11:$F$210,"&lt;&gt;Cancelled")&gt;0)</x:formula>
    </x:cfRule>
    <x:cfRule type="expression" dxfId="335" priority="164">
      <x:formula>AND(N14&lt;&gt;"",N14&lt;Milestones!$F$5,COUNTIFS(Milestones!$C$11:$C$210,N14,Milestones!$B$11:$B$210,"&lt;&gt;",Milestones!$F$11:$F$210,"&lt;&gt;Cancelled",Milestones!$F$11:$F$210,"&lt;&gt;Complete")&gt;0)</x:formula>
    </x:cfRule>
  </x:conditionalFormatting>
  <x:conditionalFormatting sqref="O14:O14">
    <x:cfRule type="expression" dxfId="336" priority="165">
      <x:formula>AND(O14&lt;&gt;"",COUNTIFS(Milestones!$C$11:$C$210,O14,Milestones!$B$11:$B$210,"&lt;&gt;",Milestones!$F$11:$F$210,"&lt;&gt;Cancelled")&gt;0)</x:formula>
    </x:cfRule>
    <x:cfRule type="expression" dxfId="337" priority="166">
      <x:formula>AND(O14&lt;&gt;"",O14&lt;Milestones!$F$5,COUNTIFS(Milestones!$C$11:$C$210,O14,Milestones!$B$11:$B$210,"&lt;&gt;",Milestones!$F$11:$F$210,"&lt;&gt;Cancelled",Milestones!$F$11:$F$210,"&lt;&gt;Complete")&gt;0)</x:formula>
    </x:cfRule>
  </x:conditionalFormatting>
  <x:conditionalFormatting sqref="P14:P14">
    <x:cfRule type="expression" dxfId="338" priority="167">
      <x:formula>AND(P14&lt;&gt;"",COUNTIFS(Milestones!$C$11:$C$210,P14,Milestones!$B$11:$B$210,"&lt;&gt;",Milestones!$F$11:$F$210,"&lt;&gt;Cancelled")&gt;0)</x:formula>
    </x:cfRule>
    <x:cfRule type="expression" dxfId="339" priority="168">
      <x:formula>AND(P14&lt;&gt;"",P14&lt;Milestones!$F$5,COUNTIFS(Milestones!$C$11:$C$210,P14,Milestones!$B$11:$B$210,"&lt;&gt;",Milestones!$F$11:$F$210,"&lt;&gt;Cancelled",Milestones!$F$11:$F$210,"&lt;&gt;Complete")&gt;0)</x:formula>
    </x:cfRule>
  </x:conditionalFormatting>
  <x:conditionalFormatting sqref="R9:R9">
    <x:cfRule type="expression" dxfId="340" priority="169">
      <x:formula>AND(R9&lt;&gt;"",COUNTIFS(Milestones!$C$11:$C$210,R9,Milestones!$B$11:$B$210,"&lt;&gt;",Milestones!$F$11:$F$210,"&lt;&gt;Cancelled")&gt;0)</x:formula>
    </x:cfRule>
    <x:cfRule type="expression" dxfId="341" priority="170">
      <x:formula>AND(R9&lt;&gt;"",R9&lt;Milestones!$F$5,COUNTIFS(Milestones!$C$11:$C$210,R9,Milestones!$B$11:$B$210,"&lt;&gt;",Milestones!$F$11:$F$210,"&lt;&gt;Cancelled",Milestones!$F$11:$F$210,"&lt;&gt;Complete")&gt;0)</x:formula>
    </x:cfRule>
  </x:conditionalFormatting>
  <x:conditionalFormatting sqref="S9:S9">
    <x:cfRule type="expression" dxfId="342" priority="171">
      <x:formula>AND(S9&lt;&gt;"",COUNTIFS(Milestones!$C$11:$C$210,S9,Milestones!$B$11:$B$210,"&lt;&gt;",Milestones!$F$11:$F$210,"&lt;&gt;Cancelled")&gt;0)</x:formula>
    </x:cfRule>
    <x:cfRule type="expression" dxfId="343" priority="172">
      <x:formula>AND(S9&lt;&gt;"",S9&lt;Milestones!$F$5,COUNTIFS(Milestones!$C$11:$C$210,S9,Milestones!$B$11:$B$210,"&lt;&gt;",Milestones!$F$11:$F$210,"&lt;&gt;Cancelled",Milestones!$F$11:$F$210,"&lt;&gt;Complete")&gt;0)</x:formula>
    </x:cfRule>
  </x:conditionalFormatting>
  <x:conditionalFormatting sqref="T9:T9">
    <x:cfRule type="expression" dxfId="344" priority="173">
      <x:formula>AND(T9&lt;&gt;"",COUNTIFS(Milestones!$C$11:$C$210,T9,Milestones!$B$11:$B$210,"&lt;&gt;",Milestones!$F$11:$F$210,"&lt;&gt;Cancelled")&gt;0)</x:formula>
    </x:cfRule>
    <x:cfRule type="expression" dxfId="345" priority="174">
      <x:formula>AND(T9&lt;&gt;"",T9&lt;Milestones!$F$5,COUNTIFS(Milestones!$C$11:$C$210,T9,Milestones!$B$11:$B$210,"&lt;&gt;",Milestones!$F$11:$F$210,"&lt;&gt;Cancelled",Milestones!$F$11:$F$210,"&lt;&gt;Complete")&gt;0)</x:formula>
    </x:cfRule>
  </x:conditionalFormatting>
  <x:conditionalFormatting sqref="U9:U9">
    <x:cfRule type="expression" dxfId="346" priority="175">
      <x:formula>AND(U9&lt;&gt;"",COUNTIFS(Milestones!$C$11:$C$210,U9,Milestones!$B$11:$B$210,"&lt;&gt;",Milestones!$F$11:$F$210,"&lt;&gt;Cancelled")&gt;0)</x:formula>
    </x:cfRule>
    <x:cfRule type="expression" dxfId="347" priority="176">
      <x:formula>AND(U9&lt;&gt;"",U9&lt;Milestones!$F$5,COUNTIFS(Milestones!$C$11:$C$210,U9,Milestones!$B$11:$B$210,"&lt;&gt;",Milestones!$F$11:$F$210,"&lt;&gt;Cancelled",Milestones!$F$11:$F$210,"&lt;&gt;Complete")&gt;0)</x:formula>
    </x:cfRule>
  </x:conditionalFormatting>
  <x:conditionalFormatting sqref="V9:V9">
    <x:cfRule type="expression" dxfId="348" priority="177">
      <x:formula>AND(V9&lt;&gt;"",COUNTIFS(Milestones!$C$11:$C$210,V9,Milestones!$B$11:$B$210,"&lt;&gt;",Milestones!$F$11:$F$210,"&lt;&gt;Cancelled")&gt;0)</x:formula>
    </x:cfRule>
    <x:cfRule type="expression" dxfId="349" priority="178">
      <x:formula>AND(V9&lt;&gt;"",V9&lt;Milestones!$F$5,COUNTIFS(Milestones!$C$11:$C$210,V9,Milestones!$B$11:$B$210,"&lt;&gt;",Milestones!$F$11:$F$210,"&lt;&gt;Cancelled",Milestones!$F$11:$F$210,"&lt;&gt;Complete")&gt;0)</x:formula>
    </x:cfRule>
  </x:conditionalFormatting>
  <x:conditionalFormatting sqref="W9:W9">
    <x:cfRule type="expression" dxfId="350" priority="179">
      <x:formula>AND(W9&lt;&gt;"",COUNTIFS(Milestones!$C$11:$C$210,W9,Milestones!$B$11:$B$210,"&lt;&gt;",Milestones!$F$11:$F$210,"&lt;&gt;Cancelled")&gt;0)</x:formula>
    </x:cfRule>
    <x:cfRule type="expression" dxfId="351" priority="180">
      <x:formula>AND(W9&lt;&gt;"",W9&lt;Milestones!$F$5,COUNTIFS(Milestones!$C$11:$C$210,W9,Milestones!$B$11:$B$210,"&lt;&gt;",Milestones!$F$11:$F$210,"&lt;&gt;Cancelled",Milestones!$F$11:$F$210,"&lt;&gt;Complete")&gt;0)</x:formula>
    </x:cfRule>
  </x:conditionalFormatting>
  <x:conditionalFormatting sqref="X9:X9">
    <x:cfRule type="expression" dxfId="352" priority="181">
      <x:formula>AND(X9&lt;&gt;"",COUNTIFS(Milestones!$C$11:$C$210,X9,Milestones!$B$11:$B$210,"&lt;&gt;",Milestones!$F$11:$F$210,"&lt;&gt;Cancelled")&gt;0)</x:formula>
    </x:cfRule>
    <x:cfRule type="expression" dxfId="353" priority="182">
      <x:formula>AND(X9&lt;&gt;"",X9&lt;Milestones!$F$5,COUNTIFS(Milestones!$C$11:$C$210,X9,Milestones!$B$11:$B$210,"&lt;&gt;",Milestones!$F$11:$F$210,"&lt;&gt;Cancelled",Milestones!$F$11:$F$210,"&lt;&gt;Complete")&gt;0)</x:formula>
    </x:cfRule>
  </x:conditionalFormatting>
  <x:conditionalFormatting sqref="R10:R10">
    <x:cfRule type="expression" dxfId="354" priority="183">
      <x:formula>AND(R10&lt;&gt;"",COUNTIFS(Milestones!$C$11:$C$210,R10,Milestones!$B$11:$B$210,"&lt;&gt;",Milestones!$F$11:$F$210,"&lt;&gt;Cancelled")&gt;0)</x:formula>
    </x:cfRule>
    <x:cfRule type="expression" dxfId="355" priority="184">
      <x:formula>AND(R10&lt;&gt;"",R10&lt;Milestones!$F$5,COUNTIFS(Milestones!$C$11:$C$210,R10,Milestones!$B$11:$B$210,"&lt;&gt;",Milestones!$F$11:$F$210,"&lt;&gt;Cancelled",Milestones!$F$11:$F$210,"&lt;&gt;Complete")&gt;0)</x:formula>
    </x:cfRule>
  </x:conditionalFormatting>
  <x:conditionalFormatting sqref="S10:S10">
    <x:cfRule type="expression" dxfId="356" priority="185">
      <x:formula>AND(S10&lt;&gt;"",COUNTIFS(Milestones!$C$11:$C$210,S10,Milestones!$B$11:$B$210,"&lt;&gt;",Milestones!$F$11:$F$210,"&lt;&gt;Cancelled")&gt;0)</x:formula>
    </x:cfRule>
    <x:cfRule type="expression" dxfId="357" priority="186">
      <x:formula>AND(S10&lt;&gt;"",S10&lt;Milestones!$F$5,COUNTIFS(Milestones!$C$11:$C$210,S10,Milestones!$B$11:$B$210,"&lt;&gt;",Milestones!$F$11:$F$210,"&lt;&gt;Cancelled",Milestones!$F$11:$F$210,"&lt;&gt;Complete")&gt;0)</x:formula>
    </x:cfRule>
  </x:conditionalFormatting>
  <x:conditionalFormatting sqref="T10:T10">
    <x:cfRule type="expression" dxfId="358" priority="187">
      <x:formula>AND(T10&lt;&gt;"",COUNTIFS(Milestones!$C$11:$C$210,T10,Milestones!$B$11:$B$210,"&lt;&gt;",Milestones!$F$11:$F$210,"&lt;&gt;Cancelled")&gt;0)</x:formula>
    </x:cfRule>
    <x:cfRule type="expression" dxfId="359" priority="188">
      <x:formula>AND(T10&lt;&gt;"",T10&lt;Milestones!$F$5,COUNTIFS(Milestones!$C$11:$C$210,T10,Milestones!$B$11:$B$210,"&lt;&gt;",Milestones!$F$11:$F$210,"&lt;&gt;Cancelled",Milestones!$F$11:$F$210,"&lt;&gt;Complete")&gt;0)</x:formula>
    </x:cfRule>
  </x:conditionalFormatting>
  <x:conditionalFormatting sqref="U10:U10">
    <x:cfRule type="expression" dxfId="360" priority="189">
      <x:formula>AND(U10&lt;&gt;"",COUNTIFS(Milestones!$C$11:$C$210,U10,Milestones!$B$11:$B$210,"&lt;&gt;",Milestones!$F$11:$F$210,"&lt;&gt;Cancelled")&gt;0)</x:formula>
    </x:cfRule>
    <x:cfRule type="expression" dxfId="361" priority="190">
      <x:formula>AND(U10&lt;&gt;"",U10&lt;Milestones!$F$5,COUNTIFS(Milestones!$C$11:$C$210,U10,Milestones!$B$11:$B$210,"&lt;&gt;",Milestones!$F$11:$F$210,"&lt;&gt;Cancelled",Milestones!$F$11:$F$210,"&lt;&gt;Complete")&gt;0)</x:formula>
    </x:cfRule>
  </x:conditionalFormatting>
  <x:conditionalFormatting sqref="V10:V10">
    <x:cfRule type="expression" dxfId="362" priority="191">
      <x:formula>AND(V10&lt;&gt;"",COUNTIFS(Milestones!$C$11:$C$210,V10,Milestones!$B$11:$B$210,"&lt;&gt;",Milestones!$F$11:$F$210,"&lt;&gt;Cancelled")&gt;0)</x:formula>
    </x:cfRule>
    <x:cfRule type="expression" dxfId="363" priority="192">
      <x:formula>AND(V10&lt;&gt;"",V10&lt;Milestones!$F$5,COUNTIFS(Milestones!$C$11:$C$210,V10,Milestones!$B$11:$B$210,"&lt;&gt;",Milestones!$F$11:$F$210,"&lt;&gt;Cancelled",Milestones!$F$11:$F$210,"&lt;&gt;Complete")&gt;0)</x:formula>
    </x:cfRule>
  </x:conditionalFormatting>
  <x:conditionalFormatting sqref="W10:W10">
    <x:cfRule type="expression" dxfId="364" priority="193">
      <x:formula>AND(W10&lt;&gt;"",COUNTIFS(Milestones!$C$11:$C$210,W10,Milestones!$B$11:$B$210,"&lt;&gt;",Milestones!$F$11:$F$210,"&lt;&gt;Cancelled")&gt;0)</x:formula>
    </x:cfRule>
    <x:cfRule type="expression" dxfId="365" priority="194">
      <x:formula>AND(W10&lt;&gt;"",W10&lt;Milestones!$F$5,COUNTIFS(Milestones!$C$11:$C$210,W10,Milestones!$B$11:$B$210,"&lt;&gt;",Milestones!$F$11:$F$210,"&lt;&gt;Cancelled",Milestones!$F$11:$F$210,"&lt;&gt;Complete")&gt;0)</x:formula>
    </x:cfRule>
  </x:conditionalFormatting>
  <x:conditionalFormatting sqref="X10:X10">
    <x:cfRule type="expression" dxfId="366" priority="195">
      <x:formula>AND(X10&lt;&gt;"",COUNTIFS(Milestones!$C$11:$C$210,X10,Milestones!$B$11:$B$210,"&lt;&gt;",Milestones!$F$11:$F$210,"&lt;&gt;Cancelled")&gt;0)</x:formula>
    </x:cfRule>
    <x:cfRule type="expression" dxfId="367" priority="196">
      <x:formula>AND(X10&lt;&gt;"",X10&lt;Milestones!$F$5,COUNTIFS(Milestones!$C$11:$C$210,X10,Milestones!$B$11:$B$210,"&lt;&gt;",Milestones!$F$11:$F$210,"&lt;&gt;Cancelled",Milestones!$F$11:$F$210,"&lt;&gt;Complete")&gt;0)</x:formula>
    </x:cfRule>
  </x:conditionalFormatting>
  <x:conditionalFormatting sqref="R11:R11">
    <x:cfRule type="expression" dxfId="368" priority="197">
      <x:formula>AND(R11&lt;&gt;"",COUNTIFS(Milestones!$C$11:$C$210,R11,Milestones!$B$11:$B$210,"&lt;&gt;",Milestones!$F$11:$F$210,"&lt;&gt;Cancelled")&gt;0)</x:formula>
    </x:cfRule>
    <x:cfRule type="expression" dxfId="369" priority="198">
      <x:formula>AND(R11&lt;&gt;"",R11&lt;Milestones!$F$5,COUNTIFS(Milestones!$C$11:$C$210,R11,Milestones!$B$11:$B$210,"&lt;&gt;",Milestones!$F$11:$F$210,"&lt;&gt;Cancelled",Milestones!$F$11:$F$210,"&lt;&gt;Complete")&gt;0)</x:formula>
    </x:cfRule>
  </x:conditionalFormatting>
  <x:conditionalFormatting sqref="S11:S11">
    <x:cfRule type="expression" dxfId="370" priority="199">
      <x:formula>AND(S11&lt;&gt;"",COUNTIFS(Milestones!$C$11:$C$210,S11,Milestones!$B$11:$B$210,"&lt;&gt;",Milestones!$F$11:$F$210,"&lt;&gt;Cancelled")&gt;0)</x:formula>
    </x:cfRule>
    <x:cfRule type="expression" dxfId="371" priority="200">
      <x:formula>AND(S11&lt;&gt;"",S11&lt;Milestones!$F$5,COUNTIFS(Milestones!$C$11:$C$210,S11,Milestones!$B$11:$B$210,"&lt;&gt;",Milestones!$F$11:$F$210,"&lt;&gt;Cancelled",Milestones!$F$11:$F$210,"&lt;&gt;Complete")&gt;0)</x:formula>
    </x:cfRule>
  </x:conditionalFormatting>
  <x:conditionalFormatting sqref="T11:T11">
    <x:cfRule type="expression" dxfId="372" priority="201">
      <x:formula>AND(T11&lt;&gt;"",COUNTIFS(Milestones!$C$11:$C$210,T11,Milestones!$B$11:$B$210,"&lt;&gt;",Milestones!$F$11:$F$210,"&lt;&gt;Cancelled")&gt;0)</x:formula>
    </x:cfRule>
    <x:cfRule type="expression" dxfId="373" priority="202">
      <x:formula>AND(T11&lt;&gt;"",T11&lt;Milestones!$F$5,COUNTIFS(Milestones!$C$11:$C$210,T11,Milestones!$B$11:$B$210,"&lt;&gt;",Milestones!$F$11:$F$210,"&lt;&gt;Cancelled",Milestones!$F$11:$F$210,"&lt;&gt;Complete")&gt;0)</x:formula>
    </x:cfRule>
  </x:conditionalFormatting>
  <x:conditionalFormatting sqref="U11:U11">
    <x:cfRule type="expression" dxfId="374" priority="203">
      <x:formula>AND(U11&lt;&gt;"",COUNTIFS(Milestones!$C$11:$C$210,U11,Milestones!$B$11:$B$210,"&lt;&gt;",Milestones!$F$11:$F$210,"&lt;&gt;Cancelled")&gt;0)</x:formula>
    </x:cfRule>
    <x:cfRule type="expression" dxfId="375" priority="204">
      <x:formula>AND(U11&lt;&gt;"",U11&lt;Milestones!$F$5,COUNTIFS(Milestones!$C$11:$C$210,U11,Milestones!$B$11:$B$210,"&lt;&gt;",Milestones!$F$11:$F$210,"&lt;&gt;Cancelled",Milestones!$F$11:$F$210,"&lt;&gt;Complete")&gt;0)</x:formula>
    </x:cfRule>
  </x:conditionalFormatting>
  <x:conditionalFormatting sqref="V11:V11">
    <x:cfRule type="expression" dxfId="376" priority="205">
      <x:formula>AND(V11&lt;&gt;"",COUNTIFS(Milestones!$C$11:$C$210,V11,Milestones!$B$11:$B$210,"&lt;&gt;",Milestones!$F$11:$F$210,"&lt;&gt;Cancelled")&gt;0)</x:formula>
    </x:cfRule>
    <x:cfRule type="expression" dxfId="377" priority="206">
      <x:formula>AND(V11&lt;&gt;"",V11&lt;Milestones!$F$5,COUNTIFS(Milestones!$C$11:$C$210,V11,Milestones!$B$11:$B$210,"&lt;&gt;",Milestones!$F$11:$F$210,"&lt;&gt;Cancelled",Milestones!$F$11:$F$210,"&lt;&gt;Complete")&gt;0)</x:formula>
    </x:cfRule>
  </x:conditionalFormatting>
  <x:conditionalFormatting sqref="W11:W11">
    <x:cfRule type="expression" dxfId="378" priority="207">
      <x:formula>AND(W11&lt;&gt;"",COUNTIFS(Milestones!$C$11:$C$210,W11,Milestones!$B$11:$B$210,"&lt;&gt;",Milestones!$F$11:$F$210,"&lt;&gt;Cancelled")&gt;0)</x:formula>
    </x:cfRule>
    <x:cfRule type="expression" dxfId="379" priority="208">
      <x:formula>AND(W11&lt;&gt;"",W11&lt;Milestones!$F$5,COUNTIFS(Milestones!$C$11:$C$210,W11,Milestones!$B$11:$B$210,"&lt;&gt;",Milestones!$F$11:$F$210,"&lt;&gt;Cancelled",Milestones!$F$11:$F$210,"&lt;&gt;Complete")&gt;0)</x:formula>
    </x:cfRule>
  </x:conditionalFormatting>
  <x:conditionalFormatting sqref="X11:X11">
    <x:cfRule type="expression" dxfId="380" priority="209">
      <x:formula>AND(X11&lt;&gt;"",COUNTIFS(Milestones!$C$11:$C$210,X11,Milestones!$B$11:$B$210,"&lt;&gt;",Milestones!$F$11:$F$210,"&lt;&gt;Cancelled")&gt;0)</x:formula>
    </x:cfRule>
    <x:cfRule type="expression" dxfId="381" priority="210">
      <x:formula>AND(X11&lt;&gt;"",X11&lt;Milestones!$F$5,COUNTIFS(Milestones!$C$11:$C$210,X11,Milestones!$B$11:$B$210,"&lt;&gt;",Milestones!$F$11:$F$210,"&lt;&gt;Cancelled",Milestones!$F$11:$F$210,"&lt;&gt;Complete")&gt;0)</x:formula>
    </x:cfRule>
  </x:conditionalFormatting>
  <x:conditionalFormatting sqref="R12:R12">
    <x:cfRule type="expression" dxfId="382" priority="211">
      <x:formula>AND(R12&lt;&gt;"",COUNTIFS(Milestones!$C$11:$C$210,R12,Milestones!$B$11:$B$210,"&lt;&gt;",Milestones!$F$11:$F$210,"&lt;&gt;Cancelled")&gt;0)</x:formula>
    </x:cfRule>
    <x:cfRule type="expression" dxfId="383" priority="212">
      <x:formula>AND(R12&lt;&gt;"",R12&lt;Milestones!$F$5,COUNTIFS(Milestones!$C$11:$C$210,R12,Milestones!$B$11:$B$210,"&lt;&gt;",Milestones!$F$11:$F$210,"&lt;&gt;Cancelled",Milestones!$F$11:$F$210,"&lt;&gt;Complete")&gt;0)</x:formula>
    </x:cfRule>
  </x:conditionalFormatting>
  <x:conditionalFormatting sqref="S12:S12">
    <x:cfRule type="expression" dxfId="384" priority="213">
      <x:formula>AND(S12&lt;&gt;"",COUNTIFS(Milestones!$C$11:$C$210,S12,Milestones!$B$11:$B$210,"&lt;&gt;",Milestones!$F$11:$F$210,"&lt;&gt;Cancelled")&gt;0)</x:formula>
    </x:cfRule>
    <x:cfRule type="expression" dxfId="385" priority="214">
      <x:formula>AND(S12&lt;&gt;"",S12&lt;Milestones!$F$5,COUNTIFS(Milestones!$C$11:$C$210,S12,Milestones!$B$11:$B$210,"&lt;&gt;",Milestones!$F$11:$F$210,"&lt;&gt;Cancelled",Milestones!$F$11:$F$210,"&lt;&gt;Complete")&gt;0)</x:formula>
    </x:cfRule>
  </x:conditionalFormatting>
  <x:conditionalFormatting sqref="T12:T12">
    <x:cfRule type="expression" dxfId="386" priority="215">
      <x:formula>AND(T12&lt;&gt;"",COUNTIFS(Milestones!$C$11:$C$210,T12,Milestones!$B$11:$B$210,"&lt;&gt;",Milestones!$F$11:$F$210,"&lt;&gt;Cancelled")&gt;0)</x:formula>
    </x:cfRule>
    <x:cfRule type="expression" dxfId="387" priority="216">
      <x:formula>AND(T12&lt;&gt;"",T12&lt;Milestones!$F$5,COUNTIFS(Milestones!$C$11:$C$210,T12,Milestones!$B$11:$B$210,"&lt;&gt;",Milestones!$F$11:$F$210,"&lt;&gt;Cancelled",Milestones!$F$11:$F$210,"&lt;&gt;Complete")&gt;0)</x:formula>
    </x:cfRule>
  </x:conditionalFormatting>
  <x:conditionalFormatting sqref="U12:U12">
    <x:cfRule type="expression" dxfId="388" priority="217">
      <x:formula>AND(U12&lt;&gt;"",COUNTIFS(Milestones!$C$11:$C$210,U12,Milestones!$B$11:$B$210,"&lt;&gt;",Milestones!$F$11:$F$210,"&lt;&gt;Cancelled")&gt;0)</x:formula>
    </x:cfRule>
    <x:cfRule type="expression" dxfId="389" priority="218">
      <x:formula>AND(U12&lt;&gt;"",U12&lt;Milestones!$F$5,COUNTIFS(Milestones!$C$11:$C$210,U12,Milestones!$B$11:$B$210,"&lt;&gt;",Milestones!$F$11:$F$210,"&lt;&gt;Cancelled",Milestones!$F$11:$F$210,"&lt;&gt;Complete")&gt;0)</x:formula>
    </x:cfRule>
  </x:conditionalFormatting>
  <x:conditionalFormatting sqref="V12:V12">
    <x:cfRule type="expression" dxfId="390" priority="219">
      <x:formula>AND(V12&lt;&gt;"",COUNTIFS(Milestones!$C$11:$C$210,V12,Milestones!$B$11:$B$210,"&lt;&gt;",Milestones!$F$11:$F$210,"&lt;&gt;Cancelled")&gt;0)</x:formula>
    </x:cfRule>
    <x:cfRule type="expression" dxfId="391" priority="220">
      <x:formula>AND(V12&lt;&gt;"",V12&lt;Milestones!$F$5,COUNTIFS(Milestones!$C$11:$C$210,V12,Milestones!$B$11:$B$210,"&lt;&gt;",Milestones!$F$11:$F$210,"&lt;&gt;Cancelled",Milestones!$F$11:$F$210,"&lt;&gt;Complete")&gt;0)</x:formula>
    </x:cfRule>
  </x:conditionalFormatting>
  <x:conditionalFormatting sqref="W12:W12">
    <x:cfRule type="expression" dxfId="392" priority="221">
      <x:formula>AND(W12&lt;&gt;"",COUNTIFS(Milestones!$C$11:$C$210,W12,Milestones!$B$11:$B$210,"&lt;&gt;",Milestones!$F$11:$F$210,"&lt;&gt;Cancelled")&gt;0)</x:formula>
    </x:cfRule>
    <x:cfRule type="expression" dxfId="393" priority="222">
      <x:formula>AND(W12&lt;&gt;"",W12&lt;Milestones!$F$5,COUNTIFS(Milestones!$C$11:$C$210,W12,Milestones!$B$11:$B$210,"&lt;&gt;",Milestones!$F$11:$F$210,"&lt;&gt;Cancelled",Milestones!$F$11:$F$210,"&lt;&gt;Complete")&gt;0)</x:formula>
    </x:cfRule>
  </x:conditionalFormatting>
  <x:conditionalFormatting sqref="X12:X12">
    <x:cfRule type="expression" dxfId="394" priority="223">
      <x:formula>AND(X12&lt;&gt;"",COUNTIFS(Milestones!$C$11:$C$210,X12,Milestones!$B$11:$B$210,"&lt;&gt;",Milestones!$F$11:$F$210,"&lt;&gt;Cancelled")&gt;0)</x:formula>
    </x:cfRule>
    <x:cfRule type="expression" dxfId="395" priority="224">
      <x:formula>AND(X12&lt;&gt;"",X12&lt;Milestones!$F$5,COUNTIFS(Milestones!$C$11:$C$210,X12,Milestones!$B$11:$B$210,"&lt;&gt;",Milestones!$F$11:$F$210,"&lt;&gt;Cancelled",Milestones!$F$11:$F$210,"&lt;&gt;Complete")&gt;0)</x:formula>
    </x:cfRule>
  </x:conditionalFormatting>
  <x:conditionalFormatting sqref="R13:R13">
    <x:cfRule type="expression" dxfId="396" priority="225">
      <x:formula>AND(R13&lt;&gt;"",COUNTIFS(Milestones!$C$11:$C$210,R13,Milestones!$B$11:$B$210,"&lt;&gt;",Milestones!$F$11:$F$210,"&lt;&gt;Cancelled")&gt;0)</x:formula>
    </x:cfRule>
    <x:cfRule type="expression" dxfId="397" priority="226">
      <x:formula>AND(R13&lt;&gt;"",R13&lt;Milestones!$F$5,COUNTIFS(Milestones!$C$11:$C$210,R13,Milestones!$B$11:$B$210,"&lt;&gt;",Milestones!$F$11:$F$210,"&lt;&gt;Cancelled",Milestones!$F$11:$F$210,"&lt;&gt;Complete")&gt;0)</x:formula>
    </x:cfRule>
  </x:conditionalFormatting>
  <x:conditionalFormatting sqref="S13:S13">
    <x:cfRule type="expression" dxfId="398" priority="227">
      <x:formula>AND(S13&lt;&gt;"",COUNTIFS(Milestones!$C$11:$C$210,S13,Milestones!$B$11:$B$210,"&lt;&gt;",Milestones!$F$11:$F$210,"&lt;&gt;Cancelled")&gt;0)</x:formula>
    </x:cfRule>
    <x:cfRule type="expression" dxfId="399" priority="228">
      <x:formula>AND(S13&lt;&gt;"",S13&lt;Milestones!$F$5,COUNTIFS(Milestones!$C$11:$C$210,S13,Milestones!$B$11:$B$210,"&lt;&gt;",Milestones!$F$11:$F$210,"&lt;&gt;Cancelled",Milestones!$F$11:$F$210,"&lt;&gt;Complete")&gt;0)</x:formula>
    </x:cfRule>
  </x:conditionalFormatting>
  <x:conditionalFormatting sqref="T13:T13">
    <x:cfRule type="expression" dxfId="400" priority="229">
      <x:formula>AND(T13&lt;&gt;"",COUNTIFS(Milestones!$C$11:$C$210,T13,Milestones!$B$11:$B$210,"&lt;&gt;",Milestones!$F$11:$F$210,"&lt;&gt;Cancelled")&gt;0)</x:formula>
    </x:cfRule>
    <x:cfRule type="expression" dxfId="401" priority="230">
      <x:formula>AND(T13&lt;&gt;"",T13&lt;Milestones!$F$5,COUNTIFS(Milestones!$C$11:$C$210,T13,Milestones!$B$11:$B$210,"&lt;&gt;",Milestones!$F$11:$F$210,"&lt;&gt;Cancelled",Milestones!$F$11:$F$210,"&lt;&gt;Complete")&gt;0)</x:formula>
    </x:cfRule>
  </x:conditionalFormatting>
  <x:conditionalFormatting sqref="U13:U13">
    <x:cfRule type="expression" dxfId="402" priority="231">
      <x:formula>AND(U13&lt;&gt;"",COUNTIFS(Milestones!$C$11:$C$210,U13,Milestones!$B$11:$B$210,"&lt;&gt;",Milestones!$F$11:$F$210,"&lt;&gt;Cancelled")&gt;0)</x:formula>
    </x:cfRule>
    <x:cfRule type="expression" dxfId="403" priority="232">
      <x:formula>AND(U13&lt;&gt;"",U13&lt;Milestones!$F$5,COUNTIFS(Milestones!$C$11:$C$210,U13,Milestones!$B$11:$B$210,"&lt;&gt;",Milestones!$F$11:$F$210,"&lt;&gt;Cancelled",Milestones!$F$11:$F$210,"&lt;&gt;Complete")&gt;0)</x:formula>
    </x:cfRule>
  </x:conditionalFormatting>
  <x:conditionalFormatting sqref="V13:V13">
    <x:cfRule type="expression" dxfId="404" priority="233">
      <x:formula>AND(V13&lt;&gt;"",COUNTIFS(Milestones!$C$11:$C$210,V13,Milestones!$B$11:$B$210,"&lt;&gt;",Milestones!$F$11:$F$210,"&lt;&gt;Cancelled")&gt;0)</x:formula>
    </x:cfRule>
    <x:cfRule type="expression" dxfId="405" priority="234">
      <x:formula>AND(V13&lt;&gt;"",V13&lt;Milestones!$F$5,COUNTIFS(Milestones!$C$11:$C$210,V13,Milestones!$B$11:$B$210,"&lt;&gt;",Milestones!$F$11:$F$210,"&lt;&gt;Cancelled",Milestones!$F$11:$F$210,"&lt;&gt;Complete")&gt;0)</x:formula>
    </x:cfRule>
  </x:conditionalFormatting>
  <x:conditionalFormatting sqref="W13:W13">
    <x:cfRule type="expression" dxfId="406" priority="235">
      <x:formula>AND(W13&lt;&gt;"",COUNTIFS(Milestones!$C$11:$C$210,W13,Milestones!$B$11:$B$210,"&lt;&gt;",Milestones!$F$11:$F$210,"&lt;&gt;Cancelled")&gt;0)</x:formula>
    </x:cfRule>
    <x:cfRule type="expression" dxfId="407" priority="236">
      <x:formula>AND(W13&lt;&gt;"",W13&lt;Milestones!$F$5,COUNTIFS(Milestones!$C$11:$C$210,W13,Milestones!$B$11:$B$210,"&lt;&gt;",Milestones!$F$11:$F$210,"&lt;&gt;Cancelled",Milestones!$F$11:$F$210,"&lt;&gt;Complete")&gt;0)</x:formula>
    </x:cfRule>
  </x:conditionalFormatting>
  <x:conditionalFormatting sqref="X13:X13">
    <x:cfRule type="expression" dxfId="408" priority="237">
      <x:formula>AND(X13&lt;&gt;"",COUNTIFS(Milestones!$C$11:$C$210,X13,Milestones!$B$11:$B$210,"&lt;&gt;",Milestones!$F$11:$F$210,"&lt;&gt;Cancelled")&gt;0)</x:formula>
    </x:cfRule>
    <x:cfRule type="expression" dxfId="409" priority="238">
      <x:formula>AND(X13&lt;&gt;"",X13&lt;Milestones!$F$5,COUNTIFS(Milestones!$C$11:$C$210,X13,Milestones!$B$11:$B$210,"&lt;&gt;",Milestones!$F$11:$F$210,"&lt;&gt;Cancelled",Milestones!$F$11:$F$210,"&lt;&gt;Complete")&gt;0)</x:formula>
    </x:cfRule>
  </x:conditionalFormatting>
  <x:conditionalFormatting sqref="R14:R14">
    <x:cfRule type="expression" dxfId="410" priority="239">
      <x:formula>AND(R14&lt;&gt;"",COUNTIFS(Milestones!$C$11:$C$210,R14,Milestones!$B$11:$B$210,"&lt;&gt;",Milestones!$F$11:$F$210,"&lt;&gt;Cancelled")&gt;0)</x:formula>
    </x:cfRule>
    <x:cfRule type="expression" dxfId="411" priority="240">
      <x:formula>AND(R14&lt;&gt;"",R14&lt;Milestones!$F$5,COUNTIFS(Milestones!$C$11:$C$210,R14,Milestones!$B$11:$B$210,"&lt;&gt;",Milestones!$F$11:$F$210,"&lt;&gt;Cancelled",Milestones!$F$11:$F$210,"&lt;&gt;Complete")&gt;0)</x:formula>
    </x:cfRule>
  </x:conditionalFormatting>
  <x:conditionalFormatting sqref="S14:S14">
    <x:cfRule type="expression" dxfId="412" priority="241">
      <x:formula>AND(S14&lt;&gt;"",COUNTIFS(Milestones!$C$11:$C$210,S14,Milestones!$B$11:$B$210,"&lt;&gt;",Milestones!$F$11:$F$210,"&lt;&gt;Cancelled")&gt;0)</x:formula>
    </x:cfRule>
    <x:cfRule type="expression" dxfId="413" priority="242">
      <x:formula>AND(S14&lt;&gt;"",S14&lt;Milestones!$F$5,COUNTIFS(Milestones!$C$11:$C$210,S14,Milestones!$B$11:$B$210,"&lt;&gt;",Milestones!$F$11:$F$210,"&lt;&gt;Cancelled",Milestones!$F$11:$F$210,"&lt;&gt;Complete")&gt;0)</x:formula>
    </x:cfRule>
  </x:conditionalFormatting>
  <x:conditionalFormatting sqref="T14:T14">
    <x:cfRule type="expression" dxfId="414" priority="243">
      <x:formula>AND(T14&lt;&gt;"",COUNTIFS(Milestones!$C$11:$C$210,T14,Milestones!$B$11:$B$210,"&lt;&gt;",Milestones!$F$11:$F$210,"&lt;&gt;Cancelled")&gt;0)</x:formula>
    </x:cfRule>
    <x:cfRule type="expression" dxfId="415" priority="244">
      <x:formula>AND(T14&lt;&gt;"",T14&lt;Milestones!$F$5,COUNTIFS(Milestones!$C$11:$C$210,T14,Milestones!$B$11:$B$210,"&lt;&gt;",Milestones!$F$11:$F$210,"&lt;&gt;Cancelled",Milestones!$F$11:$F$210,"&lt;&gt;Complete")&gt;0)</x:formula>
    </x:cfRule>
  </x:conditionalFormatting>
  <x:conditionalFormatting sqref="U14:U14">
    <x:cfRule type="expression" dxfId="416" priority="245">
      <x:formula>AND(U14&lt;&gt;"",COUNTIFS(Milestones!$C$11:$C$210,U14,Milestones!$B$11:$B$210,"&lt;&gt;",Milestones!$F$11:$F$210,"&lt;&gt;Cancelled")&gt;0)</x:formula>
    </x:cfRule>
    <x:cfRule type="expression" dxfId="417" priority="246">
      <x:formula>AND(U14&lt;&gt;"",U14&lt;Milestones!$F$5,COUNTIFS(Milestones!$C$11:$C$210,U14,Milestones!$B$11:$B$210,"&lt;&gt;",Milestones!$F$11:$F$210,"&lt;&gt;Cancelled",Milestones!$F$11:$F$210,"&lt;&gt;Complete")&gt;0)</x:formula>
    </x:cfRule>
  </x:conditionalFormatting>
  <x:conditionalFormatting sqref="V14:V14">
    <x:cfRule type="expression" dxfId="418" priority="247">
      <x:formula>AND(V14&lt;&gt;"",COUNTIFS(Milestones!$C$11:$C$210,V14,Milestones!$B$11:$B$210,"&lt;&gt;",Milestones!$F$11:$F$210,"&lt;&gt;Cancelled")&gt;0)</x:formula>
    </x:cfRule>
    <x:cfRule type="expression" dxfId="419" priority="248">
      <x:formula>AND(V14&lt;&gt;"",V14&lt;Milestones!$F$5,COUNTIFS(Milestones!$C$11:$C$210,V14,Milestones!$B$11:$B$210,"&lt;&gt;",Milestones!$F$11:$F$210,"&lt;&gt;Cancelled",Milestones!$F$11:$F$210,"&lt;&gt;Complete")&gt;0)</x:formula>
    </x:cfRule>
  </x:conditionalFormatting>
  <x:conditionalFormatting sqref="W14:W14">
    <x:cfRule type="expression" dxfId="420" priority="249">
      <x:formula>AND(W14&lt;&gt;"",COUNTIFS(Milestones!$C$11:$C$210,W14,Milestones!$B$11:$B$210,"&lt;&gt;",Milestones!$F$11:$F$210,"&lt;&gt;Cancelled")&gt;0)</x:formula>
    </x:cfRule>
    <x:cfRule type="expression" dxfId="421" priority="250">
      <x:formula>AND(W14&lt;&gt;"",W14&lt;Milestones!$F$5,COUNTIFS(Milestones!$C$11:$C$210,W14,Milestones!$B$11:$B$210,"&lt;&gt;",Milestones!$F$11:$F$210,"&lt;&gt;Cancelled",Milestones!$F$11:$F$210,"&lt;&gt;Complete")&gt;0)</x:formula>
    </x:cfRule>
  </x:conditionalFormatting>
  <x:conditionalFormatting sqref="X14:X14">
    <x:cfRule type="expression" dxfId="422" priority="251">
      <x:formula>AND(X14&lt;&gt;"",COUNTIFS(Milestones!$C$11:$C$210,X14,Milestones!$B$11:$B$210,"&lt;&gt;",Milestones!$F$11:$F$210,"&lt;&gt;Cancelled")&gt;0)</x:formula>
    </x:cfRule>
    <x:cfRule type="expression" dxfId="423" priority="252">
      <x:formula>AND(X14&lt;&gt;"",X14&lt;Milestones!$F$5,COUNTIFS(Milestones!$C$11:$C$210,X14,Milestones!$B$11:$B$210,"&lt;&gt;",Milestones!$F$11:$F$210,"&lt;&gt;Cancelled",Milestones!$F$11:$F$210,"&lt;&gt;Complete")&gt;0)</x:formula>
    </x:cfRule>
  </x:conditionalFormatting>
  <x:conditionalFormatting sqref="B17:B17">
    <x:cfRule type="expression" dxfId="424" priority="253">
      <x:formula>AND(B17&lt;&gt;"",COUNTIFS(Milestones!$C$11:$C$210,B17,Milestones!$B$11:$B$210,"&lt;&gt;",Milestones!$F$11:$F$210,"&lt;&gt;Cancelled")&gt;0)</x:formula>
    </x:cfRule>
    <x:cfRule type="expression" dxfId="425" priority="254">
      <x:formula>AND(B17&lt;&gt;"",B17&lt;Milestones!$F$5,COUNTIFS(Milestones!$C$11:$C$210,B17,Milestones!$B$11:$B$210,"&lt;&gt;",Milestones!$F$11:$F$210,"&lt;&gt;Cancelled",Milestones!$F$11:$F$210,"&lt;&gt;Complete")&gt;0)</x:formula>
    </x:cfRule>
  </x:conditionalFormatting>
  <x:conditionalFormatting sqref="C17:C17">
    <x:cfRule type="expression" dxfId="426" priority="255">
      <x:formula>AND(C17&lt;&gt;"",COUNTIFS(Milestones!$C$11:$C$210,C17,Milestones!$B$11:$B$210,"&lt;&gt;",Milestones!$F$11:$F$210,"&lt;&gt;Cancelled")&gt;0)</x:formula>
    </x:cfRule>
    <x:cfRule type="expression" dxfId="427" priority="256">
      <x:formula>AND(C17&lt;&gt;"",C17&lt;Milestones!$F$5,COUNTIFS(Milestones!$C$11:$C$210,C17,Milestones!$B$11:$B$210,"&lt;&gt;",Milestones!$F$11:$F$210,"&lt;&gt;Cancelled",Milestones!$F$11:$F$210,"&lt;&gt;Complete")&gt;0)</x:formula>
    </x:cfRule>
  </x:conditionalFormatting>
  <x:conditionalFormatting sqref="D17:D17">
    <x:cfRule type="expression" dxfId="428" priority="257">
      <x:formula>AND(D17&lt;&gt;"",COUNTIFS(Milestones!$C$11:$C$210,D17,Milestones!$B$11:$B$210,"&lt;&gt;",Milestones!$F$11:$F$210,"&lt;&gt;Cancelled")&gt;0)</x:formula>
    </x:cfRule>
    <x:cfRule type="expression" dxfId="429" priority="258">
      <x:formula>AND(D17&lt;&gt;"",D17&lt;Milestones!$F$5,COUNTIFS(Milestones!$C$11:$C$210,D17,Milestones!$B$11:$B$210,"&lt;&gt;",Milestones!$F$11:$F$210,"&lt;&gt;Cancelled",Milestones!$F$11:$F$210,"&lt;&gt;Complete")&gt;0)</x:formula>
    </x:cfRule>
  </x:conditionalFormatting>
  <x:conditionalFormatting sqref="E17:E17">
    <x:cfRule type="expression" dxfId="430" priority="259">
      <x:formula>AND(E17&lt;&gt;"",COUNTIFS(Milestones!$C$11:$C$210,E17,Milestones!$B$11:$B$210,"&lt;&gt;",Milestones!$F$11:$F$210,"&lt;&gt;Cancelled")&gt;0)</x:formula>
    </x:cfRule>
    <x:cfRule type="expression" dxfId="431" priority="260">
      <x:formula>AND(E17&lt;&gt;"",E17&lt;Milestones!$F$5,COUNTIFS(Milestones!$C$11:$C$210,E17,Milestones!$B$11:$B$210,"&lt;&gt;",Milestones!$F$11:$F$210,"&lt;&gt;Cancelled",Milestones!$F$11:$F$210,"&lt;&gt;Complete")&gt;0)</x:formula>
    </x:cfRule>
  </x:conditionalFormatting>
  <x:conditionalFormatting sqref="F17:F17">
    <x:cfRule type="expression" dxfId="432" priority="261">
      <x:formula>AND(F17&lt;&gt;"",COUNTIFS(Milestones!$C$11:$C$210,F17,Milestones!$B$11:$B$210,"&lt;&gt;",Milestones!$F$11:$F$210,"&lt;&gt;Cancelled")&gt;0)</x:formula>
    </x:cfRule>
    <x:cfRule type="expression" dxfId="433" priority="262">
      <x:formula>AND(F17&lt;&gt;"",F17&lt;Milestones!$F$5,COUNTIFS(Milestones!$C$11:$C$210,F17,Milestones!$B$11:$B$210,"&lt;&gt;",Milestones!$F$11:$F$210,"&lt;&gt;Cancelled",Milestones!$F$11:$F$210,"&lt;&gt;Complete")&gt;0)</x:formula>
    </x:cfRule>
  </x:conditionalFormatting>
  <x:conditionalFormatting sqref="G17:G17">
    <x:cfRule type="expression" dxfId="434" priority="263">
      <x:formula>AND(G17&lt;&gt;"",COUNTIFS(Milestones!$C$11:$C$210,G17,Milestones!$B$11:$B$210,"&lt;&gt;",Milestones!$F$11:$F$210,"&lt;&gt;Cancelled")&gt;0)</x:formula>
    </x:cfRule>
    <x:cfRule type="expression" dxfId="435" priority="264">
      <x:formula>AND(G17&lt;&gt;"",G17&lt;Milestones!$F$5,COUNTIFS(Milestones!$C$11:$C$210,G17,Milestones!$B$11:$B$210,"&lt;&gt;",Milestones!$F$11:$F$210,"&lt;&gt;Cancelled",Milestones!$F$11:$F$210,"&lt;&gt;Complete")&gt;0)</x:formula>
    </x:cfRule>
  </x:conditionalFormatting>
  <x:conditionalFormatting sqref="H17:H17">
    <x:cfRule type="expression" dxfId="436" priority="265">
      <x:formula>AND(H17&lt;&gt;"",COUNTIFS(Milestones!$C$11:$C$210,H17,Milestones!$B$11:$B$210,"&lt;&gt;",Milestones!$F$11:$F$210,"&lt;&gt;Cancelled")&gt;0)</x:formula>
    </x:cfRule>
    <x:cfRule type="expression" dxfId="437" priority="266">
      <x:formula>AND(H17&lt;&gt;"",H17&lt;Milestones!$F$5,COUNTIFS(Milestones!$C$11:$C$210,H17,Milestones!$B$11:$B$210,"&lt;&gt;",Milestones!$F$11:$F$210,"&lt;&gt;Cancelled",Milestones!$F$11:$F$210,"&lt;&gt;Complete")&gt;0)</x:formula>
    </x:cfRule>
  </x:conditionalFormatting>
  <x:conditionalFormatting sqref="B18:B18">
    <x:cfRule type="expression" dxfId="438" priority="267">
      <x:formula>AND(B18&lt;&gt;"",COUNTIFS(Milestones!$C$11:$C$210,B18,Milestones!$B$11:$B$210,"&lt;&gt;",Milestones!$F$11:$F$210,"&lt;&gt;Cancelled")&gt;0)</x:formula>
    </x:cfRule>
    <x:cfRule type="expression" dxfId="439" priority="268">
      <x:formula>AND(B18&lt;&gt;"",B18&lt;Milestones!$F$5,COUNTIFS(Milestones!$C$11:$C$210,B18,Milestones!$B$11:$B$210,"&lt;&gt;",Milestones!$F$11:$F$210,"&lt;&gt;Cancelled",Milestones!$F$11:$F$210,"&lt;&gt;Complete")&gt;0)</x:formula>
    </x:cfRule>
  </x:conditionalFormatting>
  <x:conditionalFormatting sqref="C18:C18">
    <x:cfRule type="expression" dxfId="440" priority="269">
      <x:formula>AND(C18&lt;&gt;"",COUNTIFS(Milestones!$C$11:$C$210,C18,Milestones!$B$11:$B$210,"&lt;&gt;",Milestones!$F$11:$F$210,"&lt;&gt;Cancelled")&gt;0)</x:formula>
    </x:cfRule>
    <x:cfRule type="expression" dxfId="441" priority="270">
      <x:formula>AND(C18&lt;&gt;"",C18&lt;Milestones!$F$5,COUNTIFS(Milestones!$C$11:$C$210,C18,Milestones!$B$11:$B$210,"&lt;&gt;",Milestones!$F$11:$F$210,"&lt;&gt;Cancelled",Milestones!$F$11:$F$210,"&lt;&gt;Complete")&gt;0)</x:formula>
    </x:cfRule>
  </x:conditionalFormatting>
  <x:conditionalFormatting sqref="D18:D18">
    <x:cfRule type="expression" dxfId="442" priority="271">
      <x:formula>AND(D18&lt;&gt;"",COUNTIFS(Milestones!$C$11:$C$210,D18,Milestones!$B$11:$B$210,"&lt;&gt;",Milestones!$F$11:$F$210,"&lt;&gt;Cancelled")&gt;0)</x:formula>
    </x:cfRule>
    <x:cfRule type="expression" dxfId="443" priority="272">
      <x:formula>AND(D18&lt;&gt;"",D18&lt;Milestones!$F$5,COUNTIFS(Milestones!$C$11:$C$210,D18,Milestones!$B$11:$B$210,"&lt;&gt;",Milestones!$F$11:$F$210,"&lt;&gt;Cancelled",Milestones!$F$11:$F$210,"&lt;&gt;Complete")&gt;0)</x:formula>
    </x:cfRule>
  </x:conditionalFormatting>
  <x:conditionalFormatting sqref="E18:E18">
    <x:cfRule type="expression" dxfId="444" priority="273">
      <x:formula>AND(E18&lt;&gt;"",COUNTIFS(Milestones!$C$11:$C$210,E18,Milestones!$B$11:$B$210,"&lt;&gt;",Milestones!$F$11:$F$210,"&lt;&gt;Cancelled")&gt;0)</x:formula>
    </x:cfRule>
    <x:cfRule type="expression" dxfId="445" priority="274">
      <x:formula>AND(E18&lt;&gt;"",E18&lt;Milestones!$F$5,COUNTIFS(Milestones!$C$11:$C$210,E18,Milestones!$B$11:$B$210,"&lt;&gt;",Milestones!$F$11:$F$210,"&lt;&gt;Cancelled",Milestones!$F$11:$F$210,"&lt;&gt;Complete")&gt;0)</x:formula>
    </x:cfRule>
  </x:conditionalFormatting>
  <x:conditionalFormatting sqref="F18:F18">
    <x:cfRule type="expression" dxfId="446" priority="275">
      <x:formula>AND(F18&lt;&gt;"",COUNTIFS(Milestones!$C$11:$C$210,F18,Milestones!$B$11:$B$210,"&lt;&gt;",Milestones!$F$11:$F$210,"&lt;&gt;Cancelled")&gt;0)</x:formula>
    </x:cfRule>
    <x:cfRule type="expression" dxfId="447" priority="276">
      <x:formula>AND(F18&lt;&gt;"",F18&lt;Milestones!$F$5,COUNTIFS(Milestones!$C$11:$C$210,F18,Milestones!$B$11:$B$210,"&lt;&gt;",Milestones!$F$11:$F$210,"&lt;&gt;Cancelled",Milestones!$F$11:$F$210,"&lt;&gt;Complete")&gt;0)</x:formula>
    </x:cfRule>
  </x:conditionalFormatting>
  <x:conditionalFormatting sqref="G18:G18">
    <x:cfRule type="expression" dxfId="448" priority="277">
      <x:formula>AND(G18&lt;&gt;"",COUNTIFS(Milestones!$C$11:$C$210,G18,Milestones!$B$11:$B$210,"&lt;&gt;",Milestones!$F$11:$F$210,"&lt;&gt;Cancelled")&gt;0)</x:formula>
    </x:cfRule>
    <x:cfRule type="expression" dxfId="449" priority="278">
      <x:formula>AND(G18&lt;&gt;"",G18&lt;Milestones!$F$5,COUNTIFS(Milestones!$C$11:$C$210,G18,Milestones!$B$11:$B$210,"&lt;&gt;",Milestones!$F$11:$F$210,"&lt;&gt;Cancelled",Milestones!$F$11:$F$210,"&lt;&gt;Complete")&gt;0)</x:formula>
    </x:cfRule>
  </x:conditionalFormatting>
  <x:conditionalFormatting sqref="H18:H18">
    <x:cfRule type="expression" dxfId="450" priority="279">
      <x:formula>AND(H18&lt;&gt;"",COUNTIFS(Milestones!$C$11:$C$210,H18,Milestones!$B$11:$B$210,"&lt;&gt;",Milestones!$F$11:$F$210,"&lt;&gt;Cancelled")&gt;0)</x:formula>
    </x:cfRule>
    <x:cfRule type="expression" dxfId="451" priority="280">
      <x:formula>AND(H18&lt;&gt;"",H18&lt;Milestones!$F$5,COUNTIFS(Milestones!$C$11:$C$210,H18,Milestones!$B$11:$B$210,"&lt;&gt;",Milestones!$F$11:$F$210,"&lt;&gt;Cancelled",Milestones!$F$11:$F$210,"&lt;&gt;Complete")&gt;0)</x:formula>
    </x:cfRule>
  </x:conditionalFormatting>
  <x:conditionalFormatting sqref="B19:B19">
    <x:cfRule type="expression" dxfId="452" priority="281">
      <x:formula>AND(B19&lt;&gt;"",COUNTIFS(Milestones!$C$11:$C$210,B19,Milestones!$B$11:$B$210,"&lt;&gt;",Milestones!$F$11:$F$210,"&lt;&gt;Cancelled")&gt;0)</x:formula>
    </x:cfRule>
    <x:cfRule type="expression" dxfId="453" priority="282">
      <x:formula>AND(B19&lt;&gt;"",B19&lt;Milestones!$F$5,COUNTIFS(Milestones!$C$11:$C$210,B19,Milestones!$B$11:$B$210,"&lt;&gt;",Milestones!$F$11:$F$210,"&lt;&gt;Cancelled",Milestones!$F$11:$F$210,"&lt;&gt;Complete")&gt;0)</x:formula>
    </x:cfRule>
  </x:conditionalFormatting>
  <x:conditionalFormatting sqref="C19:C19">
    <x:cfRule type="expression" dxfId="454" priority="283">
      <x:formula>AND(C19&lt;&gt;"",COUNTIFS(Milestones!$C$11:$C$210,C19,Milestones!$B$11:$B$210,"&lt;&gt;",Milestones!$F$11:$F$210,"&lt;&gt;Cancelled")&gt;0)</x:formula>
    </x:cfRule>
    <x:cfRule type="expression" dxfId="455" priority="284">
      <x:formula>AND(C19&lt;&gt;"",C19&lt;Milestones!$F$5,COUNTIFS(Milestones!$C$11:$C$210,C19,Milestones!$B$11:$B$210,"&lt;&gt;",Milestones!$F$11:$F$210,"&lt;&gt;Cancelled",Milestones!$F$11:$F$210,"&lt;&gt;Complete")&gt;0)</x:formula>
    </x:cfRule>
  </x:conditionalFormatting>
  <x:conditionalFormatting sqref="D19:D19">
    <x:cfRule type="expression" dxfId="456" priority="285">
      <x:formula>AND(D19&lt;&gt;"",COUNTIFS(Milestones!$C$11:$C$210,D19,Milestones!$B$11:$B$210,"&lt;&gt;",Milestones!$F$11:$F$210,"&lt;&gt;Cancelled")&gt;0)</x:formula>
    </x:cfRule>
    <x:cfRule type="expression" dxfId="457" priority="286">
      <x:formula>AND(D19&lt;&gt;"",D19&lt;Milestones!$F$5,COUNTIFS(Milestones!$C$11:$C$210,D19,Milestones!$B$11:$B$210,"&lt;&gt;",Milestones!$F$11:$F$210,"&lt;&gt;Cancelled",Milestones!$F$11:$F$210,"&lt;&gt;Complete")&gt;0)</x:formula>
    </x:cfRule>
  </x:conditionalFormatting>
  <x:conditionalFormatting sqref="E19:E19">
    <x:cfRule type="expression" dxfId="458" priority="287">
      <x:formula>AND(E19&lt;&gt;"",COUNTIFS(Milestones!$C$11:$C$210,E19,Milestones!$B$11:$B$210,"&lt;&gt;",Milestones!$F$11:$F$210,"&lt;&gt;Cancelled")&gt;0)</x:formula>
    </x:cfRule>
    <x:cfRule type="expression" dxfId="459" priority="288">
      <x:formula>AND(E19&lt;&gt;"",E19&lt;Milestones!$F$5,COUNTIFS(Milestones!$C$11:$C$210,E19,Milestones!$B$11:$B$210,"&lt;&gt;",Milestones!$F$11:$F$210,"&lt;&gt;Cancelled",Milestones!$F$11:$F$210,"&lt;&gt;Complete")&gt;0)</x:formula>
    </x:cfRule>
  </x:conditionalFormatting>
  <x:conditionalFormatting sqref="F19:F19">
    <x:cfRule type="expression" dxfId="460" priority="289">
      <x:formula>AND(F19&lt;&gt;"",COUNTIFS(Milestones!$C$11:$C$210,F19,Milestones!$B$11:$B$210,"&lt;&gt;",Milestones!$F$11:$F$210,"&lt;&gt;Cancelled")&gt;0)</x:formula>
    </x:cfRule>
    <x:cfRule type="expression" dxfId="461" priority="290">
      <x:formula>AND(F19&lt;&gt;"",F19&lt;Milestones!$F$5,COUNTIFS(Milestones!$C$11:$C$210,F19,Milestones!$B$11:$B$210,"&lt;&gt;",Milestones!$F$11:$F$210,"&lt;&gt;Cancelled",Milestones!$F$11:$F$210,"&lt;&gt;Complete")&gt;0)</x:formula>
    </x:cfRule>
  </x:conditionalFormatting>
  <x:conditionalFormatting sqref="G19:G19">
    <x:cfRule type="expression" dxfId="462" priority="291">
      <x:formula>AND(G19&lt;&gt;"",COUNTIFS(Milestones!$C$11:$C$210,G19,Milestones!$B$11:$B$210,"&lt;&gt;",Milestones!$F$11:$F$210,"&lt;&gt;Cancelled")&gt;0)</x:formula>
    </x:cfRule>
    <x:cfRule type="expression" dxfId="463" priority="292">
      <x:formula>AND(G19&lt;&gt;"",G19&lt;Milestones!$F$5,COUNTIFS(Milestones!$C$11:$C$210,G19,Milestones!$B$11:$B$210,"&lt;&gt;",Milestones!$F$11:$F$210,"&lt;&gt;Cancelled",Milestones!$F$11:$F$210,"&lt;&gt;Complete")&gt;0)</x:formula>
    </x:cfRule>
  </x:conditionalFormatting>
  <x:conditionalFormatting sqref="H19:H19">
    <x:cfRule type="expression" dxfId="464" priority="293">
      <x:formula>AND(H19&lt;&gt;"",COUNTIFS(Milestones!$C$11:$C$210,H19,Milestones!$B$11:$B$210,"&lt;&gt;",Milestones!$F$11:$F$210,"&lt;&gt;Cancelled")&gt;0)</x:formula>
    </x:cfRule>
    <x:cfRule type="expression" dxfId="465" priority="294">
      <x:formula>AND(H19&lt;&gt;"",H19&lt;Milestones!$F$5,COUNTIFS(Milestones!$C$11:$C$210,H19,Milestones!$B$11:$B$210,"&lt;&gt;",Milestones!$F$11:$F$210,"&lt;&gt;Cancelled",Milestones!$F$11:$F$210,"&lt;&gt;Complete")&gt;0)</x:formula>
    </x:cfRule>
  </x:conditionalFormatting>
  <x:conditionalFormatting sqref="B20:B20">
    <x:cfRule type="expression" dxfId="466" priority="295">
      <x:formula>AND(B20&lt;&gt;"",COUNTIFS(Milestones!$C$11:$C$210,B20,Milestones!$B$11:$B$210,"&lt;&gt;",Milestones!$F$11:$F$210,"&lt;&gt;Cancelled")&gt;0)</x:formula>
    </x:cfRule>
    <x:cfRule type="expression" dxfId="467" priority="296">
      <x:formula>AND(B20&lt;&gt;"",B20&lt;Milestones!$F$5,COUNTIFS(Milestones!$C$11:$C$210,B20,Milestones!$B$11:$B$210,"&lt;&gt;",Milestones!$F$11:$F$210,"&lt;&gt;Cancelled",Milestones!$F$11:$F$210,"&lt;&gt;Complete")&gt;0)</x:formula>
    </x:cfRule>
  </x:conditionalFormatting>
  <x:conditionalFormatting sqref="C20:C20">
    <x:cfRule type="expression" dxfId="468" priority="297">
      <x:formula>AND(C20&lt;&gt;"",COUNTIFS(Milestones!$C$11:$C$210,C20,Milestones!$B$11:$B$210,"&lt;&gt;",Milestones!$F$11:$F$210,"&lt;&gt;Cancelled")&gt;0)</x:formula>
    </x:cfRule>
    <x:cfRule type="expression" dxfId="469" priority="298">
      <x:formula>AND(C20&lt;&gt;"",C20&lt;Milestones!$F$5,COUNTIFS(Milestones!$C$11:$C$210,C20,Milestones!$B$11:$B$210,"&lt;&gt;",Milestones!$F$11:$F$210,"&lt;&gt;Cancelled",Milestones!$F$11:$F$210,"&lt;&gt;Complete")&gt;0)</x:formula>
    </x:cfRule>
  </x:conditionalFormatting>
  <x:conditionalFormatting sqref="D20:D20">
    <x:cfRule type="expression" dxfId="470" priority="299">
      <x:formula>AND(D20&lt;&gt;"",COUNTIFS(Milestones!$C$11:$C$210,D20,Milestones!$B$11:$B$210,"&lt;&gt;",Milestones!$F$11:$F$210,"&lt;&gt;Cancelled")&gt;0)</x:formula>
    </x:cfRule>
    <x:cfRule type="expression" dxfId="471" priority="300">
      <x:formula>AND(D20&lt;&gt;"",D20&lt;Milestones!$F$5,COUNTIFS(Milestones!$C$11:$C$210,D20,Milestones!$B$11:$B$210,"&lt;&gt;",Milestones!$F$11:$F$210,"&lt;&gt;Cancelled",Milestones!$F$11:$F$210,"&lt;&gt;Complete")&gt;0)</x:formula>
    </x:cfRule>
  </x:conditionalFormatting>
  <x:conditionalFormatting sqref="E20:E20">
    <x:cfRule type="expression" dxfId="472" priority="301">
      <x:formula>AND(E20&lt;&gt;"",COUNTIFS(Milestones!$C$11:$C$210,E20,Milestones!$B$11:$B$210,"&lt;&gt;",Milestones!$F$11:$F$210,"&lt;&gt;Cancelled")&gt;0)</x:formula>
    </x:cfRule>
    <x:cfRule type="expression" dxfId="473" priority="302">
      <x:formula>AND(E20&lt;&gt;"",E20&lt;Milestones!$F$5,COUNTIFS(Milestones!$C$11:$C$210,E20,Milestones!$B$11:$B$210,"&lt;&gt;",Milestones!$F$11:$F$210,"&lt;&gt;Cancelled",Milestones!$F$11:$F$210,"&lt;&gt;Complete")&gt;0)</x:formula>
    </x:cfRule>
  </x:conditionalFormatting>
  <x:conditionalFormatting sqref="F20:F20">
    <x:cfRule type="expression" dxfId="474" priority="303">
      <x:formula>AND(F20&lt;&gt;"",COUNTIFS(Milestones!$C$11:$C$210,F20,Milestones!$B$11:$B$210,"&lt;&gt;",Milestones!$F$11:$F$210,"&lt;&gt;Cancelled")&gt;0)</x:formula>
    </x:cfRule>
    <x:cfRule type="expression" dxfId="475" priority="304">
      <x:formula>AND(F20&lt;&gt;"",F20&lt;Milestones!$F$5,COUNTIFS(Milestones!$C$11:$C$210,F20,Milestones!$B$11:$B$210,"&lt;&gt;",Milestones!$F$11:$F$210,"&lt;&gt;Cancelled",Milestones!$F$11:$F$210,"&lt;&gt;Complete")&gt;0)</x:formula>
    </x:cfRule>
  </x:conditionalFormatting>
  <x:conditionalFormatting sqref="G20:G20">
    <x:cfRule type="expression" dxfId="476" priority="305">
      <x:formula>AND(G20&lt;&gt;"",COUNTIFS(Milestones!$C$11:$C$210,G20,Milestones!$B$11:$B$210,"&lt;&gt;",Milestones!$F$11:$F$210,"&lt;&gt;Cancelled")&gt;0)</x:formula>
    </x:cfRule>
    <x:cfRule type="expression" dxfId="477" priority="306">
      <x:formula>AND(G20&lt;&gt;"",G20&lt;Milestones!$F$5,COUNTIFS(Milestones!$C$11:$C$210,G20,Milestones!$B$11:$B$210,"&lt;&gt;",Milestones!$F$11:$F$210,"&lt;&gt;Cancelled",Milestones!$F$11:$F$210,"&lt;&gt;Complete")&gt;0)</x:formula>
    </x:cfRule>
  </x:conditionalFormatting>
  <x:conditionalFormatting sqref="H20:H20">
    <x:cfRule type="expression" dxfId="478" priority="307">
      <x:formula>AND(H20&lt;&gt;"",COUNTIFS(Milestones!$C$11:$C$210,H20,Milestones!$B$11:$B$210,"&lt;&gt;",Milestones!$F$11:$F$210,"&lt;&gt;Cancelled")&gt;0)</x:formula>
    </x:cfRule>
    <x:cfRule type="expression" dxfId="479" priority="308">
      <x:formula>AND(H20&lt;&gt;"",H20&lt;Milestones!$F$5,COUNTIFS(Milestones!$C$11:$C$210,H20,Milestones!$B$11:$B$210,"&lt;&gt;",Milestones!$F$11:$F$210,"&lt;&gt;Cancelled",Milestones!$F$11:$F$210,"&lt;&gt;Complete")&gt;0)</x:formula>
    </x:cfRule>
  </x:conditionalFormatting>
  <x:conditionalFormatting sqref="B21:B21">
    <x:cfRule type="expression" dxfId="480" priority="309">
      <x:formula>AND(B21&lt;&gt;"",COUNTIFS(Milestones!$C$11:$C$210,B21,Milestones!$B$11:$B$210,"&lt;&gt;",Milestones!$F$11:$F$210,"&lt;&gt;Cancelled")&gt;0)</x:formula>
    </x:cfRule>
    <x:cfRule type="expression" dxfId="481" priority="310">
      <x:formula>AND(B21&lt;&gt;"",B21&lt;Milestones!$F$5,COUNTIFS(Milestones!$C$11:$C$210,B21,Milestones!$B$11:$B$210,"&lt;&gt;",Milestones!$F$11:$F$210,"&lt;&gt;Cancelled",Milestones!$F$11:$F$210,"&lt;&gt;Complete")&gt;0)</x:formula>
    </x:cfRule>
  </x:conditionalFormatting>
  <x:conditionalFormatting sqref="C21:C21">
    <x:cfRule type="expression" dxfId="482" priority="311">
      <x:formula>AND(C21&lt;&gt;"",COUNTIFS(Milestones!$C$11:$C$210,C21,Milestones!$B$11:$B$210,"&lt;&gt;",Milestones!$F$11:$F$210,"&lt;&gt;Cancelled")&gt;0)</x:formula>
    </x:cfRule>
    <x:cfRule type="expression" dxfId="483" priority="312">
      <x:formula>AND(C21&lt;&gt;"",C21&lt;Milestones!$F$5,COUNTIFS(Milestones!$C$11:$C$210,C21,Milestones!$B$11:$B$210,"&lt;&gt;",Milestones!$F$11:$F$210,"&lt;&gt;Cancelled",Milestones!$F$11:$F$210,"&lt;&gt;Complete")&gt;0)</x:formula>
    </x:cfRule>
  </x:conditionalFormatting>
  <x:conditionalFormatting sqref="D21:D21">
    <x:cfRule type="expression" dxfId="484" priority="313">
      <x:formula>AND(D21&lt;&gt;"",COUNTIFS(Milestones!$C$11:$C$210,D21,Milestones!$B$11:$B$210,"&lt;&gt;",Milestones!$F$11:$F$210,"&lt;&gt;Cancelled")&gt;0)</x:formula>
    </x:cfRule>
    <x:cfRule type="expression" dxfId="485" priority="314">
      <x:formula>AND(D21&lt;&gt;"",D21&lt;Milestones!$F$5,COUNTIFS(Milestones!$C$11:$C$210,D21,Milestones!$B$11:$B$210,"&lt;&gt;",Milestones!$F$11:$F$210,"&lt;&gt;Cancelled",Milestones!$F$11:$F$210,"&lt;&gt;Complete")&gt;0)</x:formula>
    </x:cfRule>
  </x:conditionalFormatting>
  <x:conditionalFormatting sqref="E21:E21">
    <x:cfRule type="expression" dxfId="486" priority="315">
      <x:formula>AND(E21&lt;&gt;"",COUNTIFS(Milestones!$C$11:$C$210,E21,Milestones!$B$11:$B$210,"&lt;&gt;",Milestones!$F$11:$F$210,"&lt;&gt;Cancelled")&gt;0)</x:formula>
    </x:cfRule>
    <x:cfRule type="expression" dxfId="487" priority="316">
      <x:formula>AND(E21&lt;&gt;"",E21&lt;Milestones!$F$5,COUNTIFS(Milestones!$C$11:$C$210,E21,Milestones!$B$11:$B$210,"&lt;&gt;",Milestones!$F$11:$F$210,"&lt;&gt;Cancelled",Milestones!$F$11:$F$210,"&lt;&gt;Complete")&gt;0)</x:formula>
    </x:cfRule>
  </x:conditionalFormatting>
  <x:conditionalFormatting sqref="F21:F21">
    <x:cfRule type="expression" dxfId="488" priority="317">
      <x:formula>AND(F21&lt;&gt;"",COUNTIFS(Milestones!$C$11:$C$210,F21,Milestones!$B$11:$B$210,"&lt;&gt;",Milestones!$F$11:$F$210,"&lt;&gt;Cancelled")&gt;0)</x:formula>
    </x:cfRule>
    <x:cfRule type="expression" dxfId="489" priority="318">
      <x:formula>AND(F21&lt;&gt;"",F21&lt;Milestones!$F$5,COUNTIFS(Milestones!$C$11:$C$210,F21,Milestones!$B$11:$B$210,"&lt;&gt;",Milestones!$F$11:$F$210,"&lt;&gt;Cancelled",Milestones!$F$11:$F$210,"&lt;&gt;Complete")&gt;0)</x:formula>
    </x:cfRule>
  </x:conditionalFormatting>
  <x:conditionalFormatting sqref="G21:G21">
    <x:cfRule type="expression" dxfId="490" priority="319">
      <x:formula>AND(G21&lt;&gt;"",COUNTIFS(Milestones!$C$11:$C$210,G21,Milestones!$B$11:$B$210,"&lt;&gt;",Milestones!$F$11:$F$210,"&lt;&gt;Cancelled")&gt;0)</x:formula>
    </x:cfRule>
    <x:cfRule type="expression" dxfId="491" priority="320">
      <x:formula>AND(G21&lt;&gt;"",G21&lt;Milestones!$F$5,COUNTIFS(Milestones!$C$11:$C$210,G21,Milestones!$B$11:$B$210,"&lt;&gt;",Milestones!$F$11:$F$210,"&lt;&gt;Cancelled",Milestones!$F$11:$F$210,"&lt;&gt;Complete")&gt;0)</x:formula>
    </x:cfRule>
  </x:conditionalFormatting>
  <x:conditionalFormatting sqref="H21:H21">
    <x:cfRule type="expression" dxfId="492" priority="321">
      <x:formula>AND(H21&lt;&gt;"",COUNTIFS(Milestones!$C$11:$C$210,H21,Milestones!$B$11:$B$210,"&lt;&gt;",Milestones!$F$11:$F$210,"&lt;&gt;Cancelled")&gt;0)</x:formula>
    </x:cfRule>
    <x:cfRule type="expression" dxfId="493" priority="322">
      <x:formula>AND(H21&lt;&gt;"",H21&lt;Milestones!$F$5,COUNTIFS(Milestones!$C$11:$C$210,H21,Milestones!$B$11:$B$210,"&lt;&gt;",Milestones!$F$11:$F$210,"&lt;&gt;Cancelled",Milestones!$F$11:$F$210,"&lt;&gt;Complete")&gt;0)</x:formula>
    </x:cfRule>
  </x:conditionalFormatting>
  <x:conditionalFormatting sqref="B22:B22">
    <x:cfRule type="expression" dxfId="494" priority="323">
      <x:formula>AND(B22&lt;&gt;"",COUNTIFS(Milestones!$C$11:$C$210,B22,Milestones!$B$11:$B$210,"&lt;&gt;",Milestones!$F$11:$F$210,"&lt;&gt;Cancelled")&gt;0)</x:formula>
    </x:cfRule>
    <x:cfRule type="expression" dxfId="495" priority="324">
      <x:formula>AND(B22&lt;&gt;"",B22&lt;Milestones!$F$5,COUNTIFS(Milestones!$C$11:$C$210,B22,Milestones!$B$11:$B$210,"&lt;&gt;",Milestones!$F$11:$F$210,"&lt;&gt;Cancelled",Milestones!$F$11:$F$210,"&lt;&gt;Complete")&gt;0)</x:formula>
    </x:cfRule>
  </x:conditionalFormatting>
  <x:conditionalFormatting sqref="C22:C22">
    <x:cfRule type="expression" dxfId="496" priority="325">
      <x:formula>AND(C22&lt;&gt;"",COUNTIFS(Milestones!$C$11:$C$210,C22,Milestones!$B$11:$B$210,"&lt;&gt;",Milestones!$F$11:$F$210,"&lt;&gt;Cancelled")&gt;0)</x:formula>
    </x:cfRule>
    <x:cfRule type="expression" dxfId="497" priority="326">
      <x:formula>AND(C22&lt;&gt;"",C22&lt;Milestones!$F$5,COUNTIFS(Milestones!$C$11:$C$210,C22,Milestones!$B$11:$B$210,"&lt;&gt;",Milestones!$F$11:$F$210,"&lt;&gt;Cancelled",Milestones!$F$11:$F$210,"&lt;&gt;Complete")&gt;0)</x:formula>
    </x:cfRule>
  </x:conditionalFormatting>
  <x:conditionalFormatting sqref="D22:D22">
    <x:cfRule type="expression" dxfId="498" priority="327">
      <x:formula>AND(D22&lt;&gt;"",COUNTIFS(Milestones!$C$11:$C$210,D22,Milestones!$B$11:$B$210,"&lt;&gt;",Milestones!$F$11:$F$210,"&lt;&gt;Cancelled")&gt;0)</x:formula>
    </x:cfRule>
    <x:cfRule type="expression" dxfId="499" priority="328">
      <x:formula>AND(D22&lt;&gt;"",D22&lt;Milestones!$F$5,COUNTIFS(Milestones!$C$11:$C$210,D22,Milestones!$B$11:$B$210,"&lt;&gt;",Milestones!$F$11:$F$210,"&lt;&gt;Cancelled",Milestones!$F$11:$F$210,"&lt;&gt;Complete")&gt;0)</x:formula>
    </x:cfRule>
  </x:conditionalFormatting>
  <x:conditionalFormatting sqref="E22:E22">
    <x:cfRule type="expression" dxfId="500" priority="329">
      <x:formula>AND(E22&lt;&gt;"",COUNTIFS(Milestones!$C$11:$C$210,E22,Milestones!$B$11:$B$210,"&lt;&gt;",Milestones!$F$11:$F$210,"&lt;&gt;Cancelled")&gt;0)</x:formula>
    </x:cfRule>
    <x:cfRule type="expression" dxfId="501" priority="330">
      <x:formula>AND(E22&lt;&gt;"",E22&lt;Milestones!$F$5,COUNTIFS(Milestones!$C$11:$C$210,E22,Milestones!$B$11:$B$210,"&lt;&gt;",Milestones!$F$11:$F$210,"&lt;&gt;Cancelled",Milestones!$F$11:$F$210,"&lt;&gt;Complete")&gt;0)</x:formula>
    </x:cfRule>
  </x:conditionalFormatting>
  <x:conditionalFormatting sqref="F22:F22">
    <x:cfRule type="expression" dxfId="502" priority="331">
      <x:formula>AND(F22&lt;&gt;"",COUNTIFS(Milestones!$C$11:$C$210,F22,Milestones!$B$11:$B$210,"&lt;&gt;",Milestones!$F$11:$F$210,"&lt;&gt;Cancelled")&gt;0)</x:formula>
    </x:cfRule>
    <x:cfRule type="expression" dxfId="503" priority="332">
      <x:formula>AND(F22&lt;&gt;"",F22&lt;Milestones!$F$5,COUNTIFS(Milestones!$C$11:$C$210,F22,Milestones!$B$11:$B$210,"&lt;&gt;",Milestones!$F$11:$F$210,"&lt;&gt;Cancelled",Milestones!$F$11:$F$210,"&lt;&gt;Complete")&gt;0)</x:formula>
    </x:cfRule>
  </x:conditionalFormatting>
  <x:conditionalFormatting sqref="G22:G22">
    <x:cfRule type="expression" dxfId="504" priority="333">
      <x:formula>AND(G22&lt;&gt;"",COUNTIFS(Milestones!$C$11:$C$210,G22,Milestones!$B$11:$B$210,"&lt;&gt;",Milestones!$F$11:$F$210,"&lt;&gt;Cancelled")&gt;0)</x:formula>
    </x:cfRule>
    <x:cfRule type="expression" dxfId="505" priority="334">
      <x:formula>AND(G22&lt;&gt;"",G22&lt;Milestones!$F$5,COUNTIFS(Milestones!$C$11:$C$210,G22,Milestones!$B$11:$B$210,"&lt;&gt;",Milestones!$F$11:$F$210,"&lt;&gt;Cancelled",Milestones!$F$11:$F$210,"&lt;&gt;Complete")&gt;0)</x:formula>
    </x:cfRule>
  </x:conditionalFormatting>
  <x:conditionalFormatting sqref="H22:H22">
    <x:cfRule type="expression" dxfId="506" priority="335">
      <x:formula>AND(H22&lt;&gt;"",COUNTIFS(Milestones!$C$11:$C$210,H22,Milestones!$B$11:$B$210,"&lt;&gt;",Milestones!$F$11:$F$210,"&lt;&gt;Cancelled")&gt;0)</x:formula>
    </x:cfRule>
    <x:cfRule type="expression" dxfId="507" priority="336">
      <x:formula>AND(H22&lt;&gt;"",H22&lt;Milestones!$F$5,COUNTIFS(Milestones!$C$11:$C$210,H22,Milestones!$B$11:$B$210,"&lt;&gt;",Milestones!$F$11:$F$210,"&lt;&gt;Cancelled",Milestones!$F$11:$F$210,"&lt;&gt;Complete")&gt;0)</x:formula>
    </x:cfRule>
  </x:conditionalFormatting>
  <x:conditionalFormatting sqref="J17:J17">
    <x:cfRule type="expression" dxfId="508" priority="337">
      <x:formula>AND(J17&lt;&gt;"",COUNTIFS(Milestones!$C$11:$C$210,J17,Milestones!$B$11:$B$210,"&lt;&gt;",Milestones!$F$11:$F$210,"&lt;&gt;Cancelled")&gt;0)</x:formula>
    </x:cfRule>
    <x:cfRule type="expression" dxfId="509" priority="338">
      <x:formula>AND(J17&lt;&gt;"",J17&lt;Milestones!$F$5,COUNTIFS(Milestones!$C$11:$C$210,J17,Milestones!$B$11:$B$210,"&lt;&gt;",Milestones!$F$11:$F$210,"&lt;&gt;Cancelled",Milestones!$F$11:$F$210,"&lt;&gt;Complete")&gt;0)</x:formula>
    </x:cfRule>
  </x:conditionalFormatting>
  <x:conditionalFormatting sqref="K17:K17">
    <x:cfRule type="expression" dxfId="510" priority="339">
      <x:formula>AND(K17&lt;&gt;"",COUNTIFS(Milestones!$C$11:$C$210,K17,Milestones!$B$11:$B$210,"&lt;&gt;",Milestones!$F$11:$F$210,"&lt;&gt;Cancelled")&gt;0)</x:formula>
    </x:cfRule>
    <x:cfRule type="expression" dxfId="511" priority="340">
      <x:formula>AND(K17&lt;&gt;"",K17&lt;Milestones!$F$5,COUNTIFS(Milestones!$C$11:$C$210,K17,Milestones!$B$11:$B$210,"&lt;&gt;",Milestones!$F$11:$F$210,"&lt;&gt;Cancelled",Milestones!$F$11:$F$210,"&lt;&gt;Complete")&gt;0)</x:formula>
    </x:cfRule>
  </x:conditionalFormatting>
  <x:conditionalFormatting sqref="L17:L17">
    <x:cfRule type="expression" dxfId="512" priority="341">
      <x:formula>AND(L17&lt;&gt;"",COUNTIFS(Milestones!$C$11:$C$210,L17,Milestones!$B$11:$B$210,"&lt;&gt;",Milestones!$F$11:$F$210,"&lt;&gt;Cancelled")&gt;0)</x:formula>
    </x:cfRule>
    <x:cfRule type="expression" dxfId="513" priority="342">
      <x:formula>AND(L17&lt;&gt;"",L17&lt;Milestones!$F$5,COUNTIFS(Milestones!$C$11:$C$210,L17,Milestones!$B$11:$B$210,"&lt;&gt;",Milestones!$F$11:$F$210,"&lt;&gt;Cancelled",Milestones!$F$11:$F$210,"&lt;&gt;Complete")&gt;0)</x:formula>
    </x:cfRule>
  </x:conditionalFormatting>
  <x:conditionalFormatting sqref="M17:M17">
    <x:cfRule type="expression" dxfId="514" priority="343">
      <x:formula>AND(M17&lt;&gt;"",COUNTIFS(Milestones!$C$11:$C$210,M17,Milestones!$B$11:$B$210,"&lt;&gt;",Milestones!$F$11:$F$210,"&lt;&gt;Cancelled")&gt;0)</x:formula>
    </x:cfRule>
    <x:cfRule type="expression" dxfId="515" priority="344">
      <x:formula>AND(M17&lt;&gt;"",M17&lt;Milestones!$F$5,COUNTIFS(Milestones!$C$11:$C$210,M17,Milestones!$B$11:$B$210,"&lt;&gt;",Milestones!$F$11:$F$210,"&lt;&gt;Cancelled",Milestones!$F$11:$F$210,"&lt;&gt;Complete")&gt;0)</x:formula>
    </x:cfRule>
  </x:conditionalFormatting>
  <x:conditionalFormatting sqref="N17:N17">
    <x:cfRule type="expression" dxfId="516" priority="345">
      <x:formula>AND(N17&lt;&gt;"",COUNTIFS(Milestones!$C$11:$C$210,N17,Milestones!$B$11:$B$210,"&lt;&gt;",Milestones!$F$11:$F$210,"&lt;&gt;Cancelled")&gt;0)</x:formula>
    </x:cfRule>
    <x:cfRule type="expression" dxfId="517" priority="346">
      <x:formula>AND(N17&lt;&gt;"",N17&lt;Milestones!$F$5,COUNTIFS(Milestones!$C$11:$C$210,N17,Milestones!$B$11:$B$210,"&lt;&gt;",Milestones!$F$11:$F$210,"&lt;&gt;Cancelled",Milestones!$F$11:$F$210,"&lt;&gt;Complete")&gt;0)</x:formula>
    </x:cfRule>
  </x:conditionalFormatting>
  <x:conditionalFormatting sqref="O17:O17">
    <x:cfRule type="expression" dxfId="518" priority="347">
      <x:formula>AND(O17&lt;&gt;"",COUNTIFS(Milestones!$C$11:$C$210,O17,Milestones!$B$11:$B$210,"&lt;&gt;",Milestones!$F$11:$F$210,"&lt;&gt;Cancelled")&gt;0)</x:formula>
    </x:cfRule>
    <x:cfRule type="expression" dxfId="519" priority="348">
      <x:formula>AND(O17&lt;&gt;"",O17&lt;Milestones!$F$5,COUNTIFS(Milestones!$C$11:$C$210,O17,Milestones!$B$11:$B$210,"&lt;&gt;",Milestones!$F$11:$F$210,"&lt;&gt;Cancelled",Milestones!$F$11:$F$210,"&lt;&gt;Complete")&gt;0)</x:formula>
    </x:cfRule>
  </x:conditionalFormatting>
  <x:conditionalFormatting sqref="P17:P17">
    <x:cfRule type="expression" dxfId="520" priority="349">
      <x:formula>AND(P17&lt;&gt;"",COUNTIFS(Milestones!$C$11:$C$210,P17,Milestones!$B$11:$B$210,"&lt;&gt;",Milestones!$F$11:$F$210,"&lt;&gt;Cancelled")&gt;0)</x:formula>
    </x:cfRule>
    <x:cfRule type="expression" dxfId="521" priority="350">
      <x:formula>AND(P17&lt;&gt;"",P17&lt;Milestones!$F$5,COUNTIFS(Milestones!$C$11:$C$210,P17,Milestones!$B$11:$B$210,"&lt;&gt;",Milestones!$F$11:$F$210,"&lt;&gt;Cancelled",Milestones!$F$11:$F$210,"&lt;&gt;Complete")&gt;0)</x:formula>
    </x:cfRule>
  </x:conditionalFormatting>
  <x:conditionalFormatting sqref="J18:J18">
    <x:cfRule type="expression" dxfId="522" priority="351">
      <x:formula>AND(J18&lt;&gt;"",COUNTIFS(Milestones!$C$11:$C$210,J18,Milestones!$B$11:$B$210,"&lt;&gt;",Milestones!$F$11:$F$210,"&lt;&gt;Cancelled")&gt;0)</x:formula>
    </x:cfRule>
    <x:cfRule type="expression" dxfId="523" priority="352">
      <x:formula>AND(J18&lt;&gt;"",J18&lt;Milestones!$F$5,COUNTIFS(Milestones!$C$11:$C$210,J18,Milestones!$B$11:$B$210,"&lt;&gt;",Milestones!$F$11:$F$210,"&lt;&gt;Cancelled",Milestones!$F$11:$F$210,"&lt;&gt;Complete")&gt;0)</x:formula>
    </x:cfRule>
  </x:conditionalFormatting>
  <x:conditionalFormatting sqref="K18:K18">
    <x:cfRule type="expression" dxfId="524" priority="353">
      <x:formula>AND(K18&lt;&gt;"",COUNTIFS(Milestones!$C$11:$C$210,K18,Milestones!$B$11:$B$210,"&lt;&gt;",Milestones!$F$11:$F$210,"&lt;&gt;Cancelled")&gt;0)</x:formula>
    </x:cfRule>
    <x:cfRule type="expression" dxfId="525" priority="354">
      <x:formula>AND(K18&lt;&gt;"",K18&lt;Milestones!$F$5,COUNTIFS(Milestones!$C$11:$C$210,K18,Milestones!$B$11:$B$210,"&lt;&gt;",Milestones!$F$11:$F$210,"&lt;&gt;Cancelled",Milestones!$F$11:$F$210,"&lt;&gt;Complete")&gt;0)</x:formula>
    </x:cfRule>
  </x:conditionalFormatting>
  <x:conditionalFormatting sqref="L18:L18">
    <x:cfRule type="expression" dxfId="526" priority="355">
      <x:formula>AND(L18&lt;&gt;"",COUNTIFS(Milestones!$C$11:$C$210,L18,Milestones!$B$11:$B$210,"&lt;&gt;",Milestones!$F$11:$F$210,"&lt;&gt;Cancelled")&gt;0)</x:formula>
    </x:cfRule>
    <x:cfRule type="expression" dxfId="527" priority="356">
      <x:formula>AND(L18&lt;&gt;"",L18&lt;Milestones!$F$5,COUNTIFS(Milestones!$C$11:$C$210,L18,Milestones!$B$11:$B$210,"&lt;&gt;",Milestones!$F$11:$F$210,"&lt;&gt;Cancelled",Milestones!$F$11:$F$210,"&lt;&gt;Complete")&gt;0)</x:formula>
    </x:cfRule>
  </x:conditionalFormatting>
  <x:conditionalFormatting sqref="M18:M18">
    <x:cfRule type="expression" dxfId="528" priority="357">
      <x:formula>AND(M18&lt;&gt;"",COUNTIFS(Milestones!$C$11:$C$210,M18,Milestones!$B$11:$B$210,"&lt;&gt;",Milestones!$F$11:$F$210,"&lt;&gt;Cancelled")&gt;0)</x:formula>
    </x:cfRule>
    <x:cfRule type="expression" dxfId="529" priority="358">
      <x:formula>AND(M18&lt;&gt;"",M18&lt;Milestones!$F$5,COUNTIFS(Milestones!$C$11:$C$210,M18,Milestones!$B$11:$B$210,"&lt;&gt;",Milestones!$F$11:$F$210,"&lt;&gt;Cancelled",Milestones!$F$11:$F$210,"&lt;&gt;Complete")&gt;0)</x:formula>
    </x:cfRule>
  </x:conditionalFormatting>
  <x:conditionalFormatting sqref="N18:N18">
    <x:cfRule type="expression" dxfId="530" priority="359">
      <x:formula>AND(N18&lt;&gt;"",COUNTIFS(Milestones!$C$11:$C$210,N18,Milestones!$B$11:$B$210,"&lt;&gt;",Milestones!$F$11:$F$210,"&lt;&gt;Cancelled")&gt;0)</x:formula>
    </x:cfRule>
    <x:cfRule type="expression" dxfId="531" priority="360">
      <x:formula>AND(N18&lt;&gt;"",N18&lt;Milestones!$F$5,COUNTIFS(Milestones!$C$11:$C$210,N18,Milestones!$B$11:$B$210,"&lt;&gt;",Milestones!$F$11:$F$210,"&lt;&gt;Cancelled",Milestones!$F$11:$F$210,"&lt;&gt;Complete")&gt;0)</x:formula>
    </x:cfRule>
  </x:conditionalFormatting>
  <x:conditionalFormatting sqref="O18:O18">
    <x:cfRule type="expression" dxfId="532" priority="361">
      <x:formula>AND(O18&lt;&gt;"",COUNTIFS(Milestones!$C$11:$C$210,O18,Milestones!$B$11:$B$210,"&lt;&gt;",Milestones!$F$11:$F$210,"&lt;&gt;Cancelled")&gt;0)</x:formula>
    </x:cfRule>
    <x:cfRule type="expression" dxfId="533" priority="362">
      <x:formula>AND(O18&lt;&gt;"",O18&lt;Milestones!$F$5,COUNTIFS(Milestones!$C$11:$C$210,O18,Milestones!$B$11:$B$210,"&lt;&gt;",Milestones!$F$11:$F$210,"&lt;&gt;Cancelled",Milestones!$F$11:$F$210,"&lt;&gt;Complete")&gt;0)</x:formula>
    </x:cfRule>
  </x:conditionalFormatting>
  <x:conditionalFormatting sqref="P18:P18">
    <x:cfRule type="expression" dxfId="534" priority="363">
      <x:formula>AND(P18&lt;&gt;"",COUNTIFS(Milestones!$C$11:$C$210,P18,Milestones!$B$11:$B$210,"&lt;&gt;",Milestones!$F$11:$F$210,"&lt;&gt;Cancelled")&gt;0)</x:formula>
    </x:cfRule>
    <x:cfRule type="expression" dxfId="535" priority="364">
      <x:formula>AND(P18&lt;&gt;"",P18&lt;Milestones!$F$5,COUNTIFS(Milestones!$C$11:$C$210,P18,Milestones!$B$11:$B$210,"&lt;&gt;",Milestones!$F$11:$F$210,"&lt;&gt;Cancelled",Milestones!$F$11:$F$210,"&lt;&gt;Complete")&gt;0)</x:formula>
    </x:cfRule>
  </x:conditionalFormatting>
  <x:conditionalFormatting sqref="J19:J19">
    <x:cfRule type="expression" dxfId="536" priority="365">
      <x:formula>AND(J19&lt;&gt;"",COUNTIFS(Milestones!$C$11:$C$210,J19,Milestones!$B$11:$B$210,"&lt;&gt;",Milestones!$F$11:$F$210,"&lt;&gt;Cancelled")&gt;0)</x:formula>
    </x:cfRule>
    <x:cfRule type="expression" dxfId="537" priority="366">
      <x:formula>AND(J19&lt;&gt;"",J19&lt;Milestones!$F$5,COUNTIFS(Milestones!$C$11:$C$210,J19,Milestones!$B$11:$B$210,"&lt;&gt;",Milestones!$F$11:$F$210,"&lt;&gt;Cancelled",Milestones!$F$11:$F$210,"&lt;&gt;Complete")&gt;0)</x:formula>
    </x:cfRule>
  </x:conditionalFormatting>
  <x:conditionalFormatting sqref="K19:K19">
    <x:cfRule type="expression" dxfId="538" priority="367">
      <x:formula>AND(K19&lt;&gt;"",COUNTIFS(Milestones!$C$11:$C$210,K19,Milestones!$B$11:$B$210,"&lt;&gt;",Milestones!$F$11:$F$210,"&lt;&gt;Cancelled")&gt;0)</x:formula>
    </x:cfRule>
    <x:cfRule type="expression" dxfId="539" priority="368">
      <x:formula>AND(K19&lt;&gt;"",K19&lt;Milestones!$F$5,COUNTIFS(Milestones!$C$11:$C$210,K19,Milestones!$B$11:$B$210,"&lt;&gt;",Milestones!$F$11:$F$210,"&lt;&gt;Cancelled",Milestones!$F$11:$F$210,"&lt;&gt;Complete")&gt;0)</x:formula>
    </x:cfRule>
  </x:conditionalFormatting>
  <x:conditionalFormatting sqref="L19:L19">
    <x:cfRule type="expression" dxfId="540" priority="369">
      <x:formula>AND(L19&lt;&gt;"",COUNTIFS(Milestones!$C$11:$C$210,L19,Milestones!$B$11:$B$210,"&lt;&gt;",Milestones!$F$11:$F$210,"&lt;&gt;Cancelled")&gt;0)</x:formula>
    </x:cfRule>
    <x:cfRule type="expression" dxfId="541" priority="370">
      <x:formula>AND(L19&lt;&gt;"",L19&lt;Milestones!$F$5,COUNTIFS(Milestones!$C$11:$C$210,L19,Milestones!$B$11:$B$210,"&lt;&gt;",Milestones!$F$11:$F$210,"&lt;&gt;Cancelled",Milestones!$F$11:$F$210,"&lt;&gt;Complete")&gt;0)</x:formula>
    </x:cfRule>
  </x:conditionalFormatting>
  <x:conditionalFormatting sqref="M19:M19">
    <x:cfRule type="expression" dxfId="542" priority="371">
      <x:formula>AND(M19&lt;&gt;"",COUNTIFS(Milestones!$C$11:$C$210,M19,Milestones!$B$11:$B$210,"&lt;&gt;",Milestones!$F$11:$F$210,"&lt;&gt;Cancelled")&gt;0)</x:formula>
    </x:cfRule>
    <x:cfRule type="expression" dxfId="543" priority="372">
      <x:formula>AND(M19&lt;&gt;"",M19&lt;Milestones!$F$5,COUNTIFS(Milestones!$C$11:$C$210,M19,Milestones!$B$11:$B$210,"&lt;&gt;",Milestones!$F$11:$F$210,"&lt;&gt;Cancelled",Milestones!$F$11:$F$210,"&lt;&gt;Complete")&gt;0)</x:formula>
    </x:cfRule>
  </x:conditionalFormatting>
  <x:conditionalFormatting sqref="N19:N19">
    <x:cfRule type="expression" dxfId="544" priority="373">
      <x:formula>AND(N19&lt;&gt;"",COUNTIFS(Milestones!$C$11:$C$210,N19,Milestones!$B$11:$B$210,"&lt;&gt;",Milestones!$F$11:$F$210,"&lt;&gt;Cancelled")&gt;0)</x:formula>
    </x:cfRule>
    <x:cfRule type="expression" dxfId="545" priority="374">
      <x:formula>AND(N19&lt;&gt;"",N19&lt;Milestones!$F$5,COUNTIFS(Milestones!$C$11:$C$210,N19,Milestones!$B$11:$B$210,"&lt;&gt;",Milestones!$F$11:$F$210,"&lt;&gt;Cancelled",Milestones!$F$11:$F$210,"&lt;&gt;Complete")&gt;0)</x:formula>
    </x:cfRule>
  </x:conditionalFormatting>
  <x:conditionalFormatting sqref="O19:O19">
    <x:cfRule type="expression" dxfId="546" priority="375">
      <x:formula>AND(O19&lt;&gt;"",COUNTIFS(Milestones!$C$11:$C$210,O19,Milestones!$B$11:$B$210,"&lt;&gt;",Milestones!$F$11:$F$210,"&lt;&gt;Cancelled")&gt;0)</x:formula>
    </x:cfRule>
    <x:cfRule type="expression" dxfId="547" priority="376">
      <x:formula>AND(O19&lt;&gt;"",O19&lt;Milestones!$F$5,COUNTIFS(Milestones!$C$11:$C$210,O19,Milestones!$B$11:$B$210,"&lt;&gt;",Milestones!$F$11:$F$210,"&lt;&gt;Cancelled",Milestones!$F$11:$F$210,"&lt;&gt;Complete")&gt;0)</x:formula>
    </x:cfRule>
  </x:conditionalFormatting>
  <x:conditionalFormatting sqref="P19:P19">
    <x:cfRule type="expression" dxfId="548" priority="377">
      <x:formula>AND(P19&lt;&gt;"",COUNTIFS(Milestones!$C$11:$C$210,P19,Milestones!$B$11:$B$210,"&lt;&gt;",Milestones!$F$11:$F$210,"&lt;&gt;Cancelled")&gt;0)</x:formula>
    </x:cfRule>
    <x:cfRule type="expression" dxfId="549" priority="378">
      <x:formula>AND(P19&lt;&gt;"",P19&lt;Milestones!$F$5,COUNTIFS(Milestones!$C$11:$C$210,P19,Milestones!$B$11:$B$210,"&lt;&gt;",Milestones!$F$11:$F$210,"&lt;&gt;Cancelled",Milestones!$F$11:$F$210,"&lt;&gt;Complete")&gt;0)</x:formula>
    </x:cfRule>
  </x:conditionalFormatting>
  <x:conditionalFormatting sqref="J20:J20">
    <x:cfRule type="expression" dxfId="550" priority="379">
      <x:formula>AND(J20&lt;&gt;"",COUNTIFS(Milestones!$C$11:$C$210,J20,Milestones!$B$11:$B$210,"&lt;&gt;",Milestones!$F$11:$F$210,"&lt;&gt;Cancelled")&gt;0)</x:formula>
    </x:cfRule>
    <x:cfRule type="expression" dxfId="551" priority="380">
      <x:formula>AND(J20&lt;&gt;"",J20&lt;Milestones!$F$5,COUNTIFS(Milestones!$C$11:$C$210,J20,Milestones!$B$11:$B$210,"&lt;&gt;",Milestones!$F$11:$F$210,"&lt;&gt;Cancelled",Milestones!$F$11:$F$210,"&lt;&gt;Complete")&gt;0)</x:formula>
    </x:cfRule>
  </x:conditionalFormatting>
  <x:conditionalFormatting sqref="K20:K20">
    <x:cfRule type="expression" dxfId="552" priority="381">
      <x:formula>AND(K20&lt;&gt;"",COUNTIFS(Milestones!$C$11:$C$210,K20,Milestones!$B$11:$B$210,"&lt;&gt;",Milestones!$F$11:$F$210,"&lt;&gt;Cancelled")&gt;0)</x:formula>
    </x:cfRule>
    <x:cfRule type="expression" dxfId="553" priority="382">
      <x:formula>AND(K20&lt;&gt;"",K20&lt;Milestones!$F$5,COUNTIFS(Milestones!$C$11:$C$210,K20,Milestones!$B$11:$B$210,"&lt;&gt;",Milestones!$F$11:$F$210,"&lt;&gt;Cancelled",Milestones!$F$11:$F$210,"&lt;&gt;Complete")&gt;0)</x:formula>
    </x:cfRule>
  </x:conditionalFormatting>
  <x:conditionalFormatting sqref="L20:L20">
    <x:cfRule type="expression" dxfId="554" priority="383">
      <x:formula>AND(L20&lt;&gt;"",COUNTIFS(Milestones!$C$11:$C$210,L20,Milestones!$B$11:$B$210,"&lt;&gt;",Milestones!$F$11:$F$210,"&lt;&gt;Cancelled")&gt;0)</x:formula>
    </x:cfRule>
    <x:cfRule type="expression" dxfId="555" priority="384">
      <x:formula>AND(L20&lt;&gt;"",L20&lt;Milestones!$F$5,COUNTIFS(Milestones!$C$11:$C$210,L20,Milestones!$B$11:$B$210,"&lt;&gt;",Milestones!$F$11:$F$210,"&lt;&gt;Cancelled",Milestones!$F$11:$F$210,"&lt;&gt;Complete")&gt;0)</x:formula>
    </x:cfRule>
  </x:conditionalFormatting>
  <x:conditionalFormatting sqref="M20:M20">
    <x:cfRule type="expression" dxfId="556" priority="385">
      <x:formula>AND(M20&lt;&gt;"",COUNTIFS(Milestones!$C$11:$C$210,M20,Milestones!$B$11:$B$210,"&lt;&gt;",Milestones!$F$11:$F$210,"&lt;&gt;Cancelled")&gt;0)</x:formula>
    </x:cfRule>
    <x:cfRule type="expression" dxfId="557" priority="386">
      <x:formula>AND(M20&lt;&gt;"",M20&lt;Milestones!$F$5,COUNTIFS(Milestones!$C$11:$C$210,M20,Milestones!$B$11:$B$210,"&lt;&gt;",Milestones!$F$11:$F$210,"&lt;&gt;Cancelled",Milestones!$F$11:$F$210,"&lt;&gt;Complete")&gt;0)</x:formula>
    </x:cfRule>
  </x:conditionalFormatting>
  <x:conditionalFormatting sqref="N20:N20">
    <x:cfRule type="expression" dxfId="558" priority="387">
      <x:formula>AND(N20&lt;&gt;"",COUNTIFS(Milestones!$C$11:$C$210,N20,Milestones!$B$11:$B$210,"&lt;&gt;",Milestones!$F$11:$F$210,"&lt;&gt;Cancelled")&gt;0)</x:formula>
    </x:cfRule>
    <x:cfRule type="expression" dxfId="559" priority="388">
      <x:formula>AND(N20&lt;&gt;"",N20&lt;Milestones!$F$5,COUNTIFS(Milestones!$C$11:$C$210,N20,Milestones!$B$11:$B$210,"&lt;&gt;",Milestones!$F$11:$F$210,"&lt;&gt;Cancelled",Milestones!$F$11:$F$210,"&lt;&gt;Complete")&gt;0)</x:formula>
    </x:cfRule>
  </x:conditionalFormatting>
  <x:conditionalFormatting sqref="O20:O20">
    <x:cfRule type="expression" dxfId="560" priority="389">
      <x:formula>AND(O20&lt;&gt;"",COUNTIFS(Milestones!$C$11:$C$210,O20,Milestones!$B$11:$B$210,"&lt;&gt;",Milestones!$F$11:$F$210,"&lt;&gt;Cancelled")&gt;0)</x:formula>
    </x:cfRule>
    <x:cfRule type="expression" dxfId="561" priority="390">
      <x:formula>AND(O20&lt;&gt;"",O20&lt;Milestones!$F$5,COUNTIFS(Milestones!$C$11:$C$210,O20,Milestones!$B$11:$B$210,"&lt;&gt;",Milestones!$F$11:$F$210,"&lt;&gt;Cancelled",Milestones!$F$11:$F$210,"&lt;&gt;Complete")&gt;0)</x:formula>
    </x:cfRule>
  </x:conditionalFormatting>
  <x:conditionalFormatting sqref="P20:P20">
    <x:cfRule type="expression" dxfId="562" priority="391">
      <x:formula>AND(P20&lt;&gt;"",COUNTIFS(Milestones!$C$11:$C$210,P20,Milestones!$B$11:$B$210,"&lt;&gt;",Milestones!$F$11:$F$210,"&lt;&gt;Cancelled")&gt;0)</x:formula>
    </x:cfRule>
    <x:cfRule type="expression" dxfId="563" priority="392">
      <x:formula>AND(P20&lt;&gt;"",P20&lt;Milestones!$F$5,COUNTIFS(Milestones!$C$11:$C$210,P20,Milestones!$B$11:$B$210,"&lt;&gt;",Milestones!$F$11:$F$210,"&lt;&gt;Cancelled",Milestones!$F$11:$F$210,"&lt;&gt;Complete")&gt;0)</x:formula>
    </x:cfRule>
  </x:conditionalFormatting>
  <x:conditionalFormatting sqref="J21:J21">
    <x:cfRule type="expression" dxfId="564" priority="393">
      <x:formula>AND(J21&lt;&gt;"",COUNTIFS(Milestones!$C$11:$C$210,J21,Milestones!$B$11:$B$210,"&lt;&gt;",Milestones!$F$11:$F$210,"&lt;&gt;Cancelled")&gt;0)</x:formula>
    </x:cfRule>
    <x:cfRule type="expression" dxfId="565" priority="394">
      <x:formula>AND(J21&lt;&gt;"",J21&lt;Milestones!$F$5,COUNTIFS(Milestones!$C$11:$C$210,J21,Milestones!$B$11:$B$210,"&lt;&gt;",Milestones!$F$11:$F$210,"&lt;&gt;Cancelled",Milestones!$F$11:$F$210,"&lt;&gt;Complete")&gt;0)</x:formula>
    </x:cfRule>
  </x:conditionalFormatting>
  <x:conditionalFormatting sqref="K21:K21">
    <x:cfRule type="expression" dxfId="566" priority="395">
      <x:formula>AND(K21&lt;&gt;"",COUNTIFS(Milestones!$C$11:$C$210,K21,Milestones!$B$11:$B$210,"&lt;&gt;",Milestones!$F$11:$F$210,"&lt;&gt;Cancelled")&gt;0)</x:formula>
    </x:cfRule>
    <x:cfRule type="expression" dxfId="567" priority="396">
      <x:formula>AND(K21&lt;&gt;"",K21&lt;Milestones!$F$5,COUNTIFS(Milestones!$C$11:$C$210,K21,Milestones!$B$11:$B$210,"&lt;&gt;",Milestones!$F$11:$F$210,"&lt;&gt;Cancelled",Milestones!$F$11:$F$210,"&lt;&gt;Complete")&gt;0)</x:formula>
    </x:cfRule>
  </x:conditionalFormatting>
  <x:conditionalFormatting sqref="L21:L21">
    <x:cfRule type="expression" dxfId="568" priority="397">
      <x:formula>AND(L21&lt;&gt;"",COUNTIFS(Milestones!$C$11:$C$210,L21,Milestones!$B$11:$B$210,"&lt;&gt;",Milestones!$F$11:$F$210,"&lt;&gt;Cancelled")&gt;0)</x:formula>
    </x:cfRule>
    <x:cfRule type="expression" dxfId="569" priority="398">
      <x:formula>AND(L21&lt;&gt;"",L21&lt;Milestones!$F$5,COUNTIFS(Milestones!$C$11:$C$210,L21,Milestones!$B$11:$B$210,"&lt;&gt;",Milestones!$F$11:$F$210,"&lt;&gt;Cancelled",Milestones!$F$11:$F$210,"&lt;&gt;Complete")&gt;0)</x:formula>
    </x:cfRule>
  </x:conditionalFormatting>
  <x:conditionalFormatting sqref="M21:M21">
    <x:cfRule type="expression" dxfId="570" priority="399">
      <x:formula>AND(M21&lt;&gt;"",COUNTIFS(Milestones!$C$11:$C$210,M21,Milestones!$B$11:$B$210,"&lt;&gt;",Milestones!$F$11:$F$210,"&lt;&gt;Cancelled")&gt;0)</x:formula>
    </x:cfRule>
    <x:cfRule type="expression" dxfId="571" priority="400">
      <x:formula>AND(M21&lt;&gt;"",M21&lt;Milestones!$F$5,COUNTIFS(Milestones!$C$11:$C$210,M21,Milestones!$B$11:$B$210,"&lt;&gt;",Milestones!$F$11:$F$210,"&lt;&gt;Cancelled",Milestones!$F$11:$F$210,"&lt;&gt;Complete")&gt;0)</x:formula>
    </x:cfRule>
  </x:conditionalFormatting>
  <x:conditionalFormatting sqref="N21:N21">
    <x:cfRule type="expression" dxfId="572" priority="401">
      <x:formula>AND(N21&lt;&gt;"",COUNTIFS(Milestones!$C$11:$C$210,N21,Milestones!$B$11:$B$210,"&lt;&gt;",Milestones!$F$11:$F$210,"&lt;&gt;Cancelled")&gt;0)</x:formula>
    </x:cfRule>
    <x:cfRule type="expression" dxfId="573" priority="402">
      <x:formula>AND(N21&lt;&gt;"",N21&lt;Milestones!$F$5,COUNTIFS(Milestones!$C$11:$C$210,N21,Milestones!$B$11:$B$210,"&lt;&gt;",Milestones!$F$11:$F$210,"&lt;&gt;Cancelled",Milestones!$F$11:$F$210,"&lt;&gt;Complete")&gt;0)</x:formula>
    </x:cfRule>
  </x:conditionalFormatting>
  <x:conditionalFormatting sqref="O21:O21">
    <x:cfRule type="expression" dxfId="574" priority="403">
      <x:formula>AND(O21&lt;&gt;"",COUNTIFS(Milestones!$C$11:$C$210,O21,Milestones!$B$11:$B$210,"&lt;&gt;",Milestones!$F$11:$F$210,"&lt;&gt;Cancelled")&gt;0)</x:formula>
    </x:cfRule>
    <x:cfRule type="expression" dxfId="575" priority="404">
      <x:formula>AND(O21&lt;&gt;"",O21&lt;Milestones!$F$5,COUNTIFS(Milestones!$C$11:$C$210,O21,Milestones!$B$11:$B$210,"&lt;&gt;",Milestones!$F$11:$F$210,"&lt;&gt;Cancelled",Milestones!$F$11:$F$210,"&lt;&gt;Complete")&gt;0)</x:formula>
    </x:cfRule>
  </x:conditionalFormatting>
  <x:conditionalFormatting sqref="P21:P21">
    <x:cfRule type="expression" dxfId="576" priority="405">
      <x:formula>AND(P21&lt;&gt;"",COUNTIFS(Milestones!$C$11:$C$210,P21,Milestones!$B$11:$B$210,"&lt;&gt;",Milestones!$F$11:$F$210,"&lt;&gt;Cancelled")&gt;0)</x:formula>
    </x:cfRule>
    <x:cfRule type="expression" dxfId="577" priority="406">
      <x:formula>AND(P21&lt;&gt;"",P21&lt;Milestones!$F$5,COUNTIFS(Milestones!$C$11:$C$210,P21,Milestones!$B$11:$B$210,"&lt;&gt;",Milestones!$F$11:$F$210,"&lt;&gt;Cancelled",Milestones!$F$11:$F$210,"&lt;&gt;Complete")&gt;0)</x:formula>
    </x:cfRule>
  </x:conditionalFormatting>
  <x:conditionalFormatting sqref="J22:J22">
    <x:cfRule type="expression" dxfId="578" priority="407">
      <x:formula>AND(J22&lt;&gt;"",COUNTIFS(Milestones!$C$11:$C$210,J22,Milestones!$B$11:$B$210,"&lt;&gt;",Milestones!$F$11:$F$210,"&lt;&gt;Cancelled")&gt;0)</x:formula>
    </x:cfRule>
    <x:cfRule type="expression" dxfId="579" priority="408">
      <x:formula>AND(J22&lt;&gt;"",J22&lt;Milestones!$F$5,COUNTIFS(Milestones!$C$11:$C$210,J22,Milestones!$B$11:$B$210,"&lt;&gt;",Milestones!$F$11:$F$210,"&lt;&gt;Cancelled",Milestones!$F$11:$F$210,"&lt;&gt;Complete")&gt;0)</x:formula>
    </x:cfRule>
  </x:conditionalFormatting>
  <x:conditionalFormatting sqref="K22:K22">
    <x:cfRule type="expression" dxfId="580" priority="409">
      <x:formula>AND(K22&lt;&gt;"",COUNTIFS(Milestones!$C$11:$C$210,K22,Milestones!$B$11:$B$210,"&lt;&gt;",Milestones!$F$11:$F$210,"&lt;&gt;Cancelled")&gt;0)</x:formula>
    </x:cfRule>
    <x:cfRule type="expression" dxfId="581" priority="410">
      <x:formula>AND(K22&lt;&gt;"",K22&lt;Milestones!$F$5,COUNTIFS(Milestones!$C$11:$C$210,K22,Milestones!$B$11:$B$210,"&lt;&gt;",Milestones!$F$11:$F$210,"&lt;&gt;Cancelled",Milestones!$F$11:$F$210,"&lt;&gt;Complete")&gt;0)</x:formula>
    </x:cfRule>
  </x:conditionalFormatting>
  <x:conditionalFormatting sqref="L22:L22">
    <x:cfRule type="expression" dxfId="582" priority="411">
      <x:formula>AND(L22&lt;&gt;"",COUNTIFS(Milestones!$C$11:$C$210,L22,Milestones!$B$11:$B$210,"&lt;&gt;",Milestones!$F$11:$F$210,"&lt;&gt;Cancelled")&gt;0)</x:formula>
    </x:cfRule>
    <x:cfRule type="expression" dxfId="583" priority="412">
      <x:formula>AND(L22&lt;&gt;"",L22&lt;Milestones!$F$5,COUNTIFS(Milestones!$C$11:$C$210,L22,Milestones!$B$11:$B$210,"&lt;&gt;",Milestones!$F$11:$F$210,"&lt;&gt;Cancelled",Milestones!$F$11:$F$210,"&lt;&gt;Complete")&gt;0)</x:formula>
    </x:cfRule>
  </x:conditionalFormatting>
  <x:conditionalFormatting sqref="M22:M22">
    <x:cfRule type="expression" dxfId="584" priority="413">
      <x:formula>AND(M22&lt;&gt;"",COUNTIFS(Milestones!$C$11:$C$210,M22,Milestones!$B$11:$B$210,"&lt;&gt;",Milestones!$F$11:$F$210,"&lt;&gt;Cancelled")&gt;0)</x:formula>
    </x:cfRule>
    <x:cfRule type="expression" dxfId="585" priority="414">
      <x:formula>AND(M22&lt;&gt;"",M22&lt;Milestones!$F$5,COUNTIFS(Milestones!$C$11:$C$210,M22,Milestones!$B$11:$B$210,"&lt;&gt;",Milestones!$F$11:$F$210,"&lt;&gt;Cancelled",Milestones!$F$11:$F$210,"&lt;&gt;Complete")&gt;0)</x:formula>
    </x:cfRule>
  </x:conditionalFormatting>
  <x:conditionalFormatting sqref="N22:N22">
    <x:cfRule type="expression" dxfId="586" priority="415">
      <x:formula>AND(N22&lt;&gt;"",COUNTIFS(Milestones!$C$11:$C$210,N22,Milestones!$B$11:$B$210,"&lt;&gt;",Milestones!$F$11:$F$210,"&lt;&gt;Cancelled")&gt;0)</x:formula>
    </x:cfRule>
    <x:cfRule type="expression" dxfId="587" priority="416">
      <x:formula>AND(N22&lt;&gt;"",N22&lt;Milestones!$F$5,COUNTIFS(Milestones!$C$11:$C$210,N22,Milestones!$B$11:$B$210,"&lt;&gt;",Milestones!$F$11:$F$210,"&lt;&gt;Cancelled",Milestones!$F$11:$F$210,"&lt;&gt;Complete")&gt;0)</x:formula>
    </x:cfRule>
  </x:conditionalFormatting>
  <x:conditionalFormatting sqref="O22:O22">
    <x:cfRule type="expression" dxfId="588" priority="417">
      <x:formula>AND(O22&lt;&gt;"",COUNTIFS(Milestones!$C$11:$C$210,O22,Milestones!$B$11:$B$210,"&lt;&gt;",Milestones!$F$11:$F$210,"&lt;&gt;Cancelled")&gt;0)</x:formula>
    </x:cfRule>
    <x:cfRule type="expression" dxfId="589" priority="418">
      <x:formula>AND(O22&lt;&gt;"",O22&lt;Milestones!$F$5,COUNTIFS(Milestones!$C$11:$C$210,O22,Milestones!$B$11:$B$210,"&lt;&gt;",Milestones!$F$11:$F$210,"&lt;&gt;Cancelled",Milestones!$F$11:$F$210,"&lt;&gt;Complete")&gt;0)</x:formula>
    </x:cfRule>
  </x:conditionalFormatting>
  <x:conditionalFormatting sqref="P22:P22">
    <x:cfRule type="expression" dxfId="590" priority="419">
      <x:formula>AND(P22&lt;&gt;"",COUNTIFS(Milestones!$C$11:$C$210,P22,Milestones!$B$11:$B$210,"&lt;&gt;",Milestones!$F$11:$F$210,"&lt;&gt;Cancelled")&gt;0)</x:formula>
    </x:cfRule>
    <x:cfRule type="expression" dxfId="591" priority="420">
      <x:formula>AND(P22&lt;&gt;"",P22&lt;Milestones!$F$5,COUNTIFS(Milestones!$C$11:$C$210,P22,Milestones!$B$11:$B$210,"&lt;&gt;",Milestones!$F$11:$F$210,"&lt;&gt;Cancelled",Milestones!$F$11:$F$210,"&lt;&gt;Complete")&gt;0)</x:formula>
    </x:cfRule>
  </x:conditionalFormatting>
  <x:conditionalFormatting sqref="R17:R17">
    <x:cfRule type="expression" dxfId="592" priority="421">
      <x:formula>AND(R17&lt;&gt;"",COUNTIFS(Milestones!$C$11:$C$210,R17,Milestones!$B$11:$B$210,"&lt;&gt;",Milestones!$F$11:$F$210,"&lt;&gt;Cancelled")&gt;0)</x:formula>
    </x:cfRule>
    <x:cfRule type="expression" dxfId="593" priority="422">
      <x:formula>AND(R17&lt;&gt;"",R17&lt;Milestones!$F$5,COUNTIFS(Milestones!$C$11:$C$210,R17,Milestones!$B$11:$B$210,"&lt;&gt;",Milestones!$F$11:$F$210,"&lt;&gt;Cancelled",Milestones!$F$11:$F$210,"&lt;&gt;Complete")&gt;0)</x:formula>
    </x:cfRule>
  </x:conditionalFormatting>
  <x:conditionalFormatting sqref="S17:S17">
    <x:cfRule type="expression" dxfId="594" priority="423">
      <x:formula>AND(S17&lt;&gt;"",COUNTIFS(Milestones!$C$11:$C$210,S17,Milestones!$B$11:$B$210,"&lt;&gt;",Milestones!$F$11:$F$210,"&lt;&gt;Cancelled")&gt;0)</x:formula>
    </x:cfRule>
    <x:cfRule type="expression" dxfId="595" priority="424">
      <x:formula>AND(S17&lt;&gt;"",S17&lt;Milestones!$F$5,COUNTIFS(Milestones!$C$11:$C$210,S17,Milestones!$B$11:$B$210,"&lt;&gt;",Milestones!$F$11:$F$210,"&lt;&gt;Cancelled",Milestones!$F$11:$F$210,"&lt;&gt;Complete")&gt;0)</x:formula>
    </x:cfRule>
  </x:conditionalFormatting>
  <x:conditionalFormatting sqref="T17:T17">
    <x:cfRule type="expression" dxfId="596" priority="425">
      <x:formula>AND(T17&lt;&gt;"",COUNTIFS(Milestones!$C$11:$C$210,T17,Milestones!$B$11:$B$210,"&lt;&gt;",Milestones!$F$11:$F$210,"&lt;&gt;Cancelled")&gt;0)</x:formula>
    </x:cfRule>
    <x:cfRule type="expression" dxfId="597" priority="426">
      <x:formula>AND(T17&lt;&gt;"",T17&lt;Milestones!$F$5,COUNTIFS(Milestones!$C$11:$C$210,T17,Milestones!$B$11:$B$210,"&lt;&gt;",Milestones!$F$11:$F$210,"&lt;&gt;Cancelled",Milestones!$F$11:$F$210,"&lt;&gt;Complete")&gt;0)</x:formula>
    </x:cfRule>
  </x:conditionalFormatting>
  <x:conditionalFormatting sqref="U17:U17">
    <x:cfRule type="expression" dxfId="598" priority="427">
      <x:formula>AND(U17&lt;&gt;"",COUNTIFS(Milestones!$C$11:$C$210,U17,Milestones!$B$11:$B$210,"&lt;&gt;",Milestones!$F$11:$F$210,"&lt;&gt;Cancelled")&gt;0)</x:formula>
    </x:cfRule>
    <x:cfRule type="expression" dxfId="599" priority="428">
      <x:formula>AND(U17&lt;&gt;"",U17&lt;Milestones!$F$5,COUNTIFS(Milestones!$C$11:$C$210,U17,Milestones!$B$11:$B$210,"&lt;&gt;",Milestones!$F$11:$F$210,"&lt;&gt;Cancelled",Milestones!$F$11:$F$210,"&lt;&gt;Complete")&gt;0)</x:formula>
    </x:cfRule>
  </x:conditionalFormatting>
  <x:conditionalFormatting sqref="V17:V17">
    <x:cfRule type="expression" dxfId="600" priority="429">
      <x:formula>AND(V17&lt;&gt;"",COUNTIFS(Milestones!$C$11:$C$210,V17,Milestones!$B$11:$B$210,"&lt;&gt;",Milestones!$F$11:$F$210,"&lt;&gt;Cancelled")&gt;0)</x:formula>
    </x:cfRule>
    <x:cfRule type="expression" dxfId="601" priority="430">
      <x:formula>AND(V17&lt;&gt;"",V17&lt;Milestones!$F$5,COUNTIFS(Milestones!$C$11:$C$210,V17,Milestones!$B$11:$B$210,"&lt;&gt;",Milestones!$F$11:$F$210,"&lt;&gt;Cancelled",Milestones!$F$11:$F$210,"&lt;&gt;Complete")&gt;0)</x:formula>
    </x:cfRule>
  </x:conditionalFormatting>
  <x:conditionalFormatting sqref="W17:W17">
    <x:cfRule type="expression" dxfId="602" priority="431">
      <x:formula>AND(W17&lt;&gt;"",COUNTIFS(Milestones!$C$11:$C$210,W17,Milestones!$B$11:$B$210,"&lt;&gt;",Milestones!$F$11:$F$210,"&lt;&gt;Cancelled")&gt;0)</x:formula>
    </x:cfRule>
    <x:cfRule type="expression" dxfId="603" priority="432">
      <x:formula>AND(W17&lt;&gt;"",W17&lt;Milestones!$F$5,COUNTIFS(Milestones!$C$11:$C$210,W17,Milestones!$B$11:$B$210,"&lt;&gt;",Milestones!$F$11:$F$210,"&lt;&gt;Cancelled",Milestones!$F$11:$F$210,"&lt;&gt;Complete")&gt;0)</x:formula>
    </x:cfRule>
  </x:conditionalFormatting>
  <x:conditionalFormatting sqref="X17:X17">
    <x:cfRule type="expression" dxfId="604" priority="433">
      <x:formula>AND(X17&lt;&gt;"",COUNTIFS(Milestones!$C$11:$C$210,X17,Milestones!$B$11:$B$210,"&lt;&gt;",Milestones!$F$11:$F$210,"&lt;&gt;Cancelled")&gt;0)</x:formula>
    </x:cfRule>
    <x:cfRule type="expression" dxfId="605" priority="434">
      <x:formula>AND(X17&lt;&gt;"",X17&lt;Milestones!$F$5,COUNTIFS(Milestones!$C$11:$C$210,X17,Milestones!$B$11:$B$210,"&lt;&gt;",Milestones!$F$11:$F$210,"&lt;&gt;Cancelled",Milestones!$F$11:$F$210,"&lt;&gt;Complete")&gt;0)</x:formula>
    </x:cfRule>
  </x:conditionalFormatting>
  <x:conditionalFormatting sqref="R18:R18">
    <x:cfRule type="expression" dxfId="606" priority="435">
      <x:formula>AND(R18&lt;&gt;"",COUNTIFS(Milestones!$C$11:$C$210,R18,Milestones!$B$11:$B$210,"&lt;&gt;",Milestones!$F$11:$F$210,"&lt;&gt;Cancelled")&gt;0)</x:formula>
    </x:cfRule>
    <x:cfRule type="expression" dxfId="607" priority="436">
      <x:formula>AND(R18&lt;&gt;"",R18&lt;Milestones!$F$5,COUNTIFS(Milestones!$C$11:$C$210,R18,Milestones!$B$11:$B$210,"&lt;&gt;",Milestones!$F$11:$F$210,"&lt;&gt;Cancelled",Milestones!$F$11:$F$210,"&lt;&gt;Complete")&gt;0)</x:formula>
    </x:cfRule>
  </x:conditionalFormatting>
  <x:conditionalFormatting sqref="S18:S18">
    <x:cfRule type="expression" dxfId="608" priority="437">
      <x:formula>AND(S18&lt;&gt;"",COUNTIFS(Milestones!$C$11:$C$210,S18,Milestones!$B$11:$B$210,"&lt;&gt;",Milestones!$F$11:$F$210,"&lt;&gt;Cancelled")&gt;0)</x:formula>
    </x:cfRule>
    <x:cfRule type="expression" dxfId="609" priority="438">
      <x:formula>AND(S18&lt;&gt;"",S18&lt;Milestones!$F$5,COUNTIFS(Milestones!$C$11:$C$210,S18,Milestones!$B$11:$B$210,"&lt;&gt;",Milestones!$F$11:$F$210,"&lt;&gt;Cancelled",Milestones!$F$11:$F$210,"&lt;&gt;Complete")&gt;0)</x:formula>
    </x:cfRule>
  </x:conditionalFormatting>
  <x:conditionalFormatting sqref="T18:T18">
    <x:cfRule type="expression" dxfId="610" priority="439">
      <x:formula>AND(T18&lt;&gt;"",COUNTIFS(Milestones!$C$11:$C$210,T18,Milestones!$B$11:$B$210,"&lt;&gt;",Milestones!$F$11:$F$210,"&lt;&gt;Cancelled")&gt;0)</x:formula>
    </x:cfRule>
    <x:cfRule type="expression" dxfId="611" priority="440">
      <x:formula>AND(T18&lt;&gt;"",T18&lt;Milestones!$F$5,COUNTIFS(Milestones!$C$11:$C$210,T18,Milestones!$B$11:$B$210,"&lt;&gt;",Milestones!$F$11:$F$210,"&lt;&gt;Cancelled",Milestones!$F$11:$F$210,"&lt;&gt;Complete")&gt;0)</x:formula>
    </x:cfRule>
  </x:conditionalFormatting>
  <x:conditionalFormatting sqref="U18:U18">
    <x:cfRule type="expression" dxfId="612" priority="441">
      <x:formula>AND(U18&lt;&gt;"",COUNTIFS(Milestones!$C$11:$C$210,U18,Milestones!$B$11:$B$210,"&lt;&gt;",Milestones!$F$11:$F$210,"&lt;&gt;Cancelled")&gt;0)</x:formula>
    </x:cfRule>
    <x:cfRule type="expression" dxfId="613" priority="442">
      <x:formula>AND(U18&lt;&gt;"",U18&lt;Milestones!$F$5,COUNTIFS(Milestones!$C$11:$C$210,U18,Milestones!$B$11:$B$210,"&lt;&gt;",Milestones!$F$11:$F$210,"&lt;&gt;Cancelled",Milestones!$F$11:$F$210,"&lt;&gt;Complete")&gt;0)</x:formula>
    </x:cfRule>
  </x:conditionalFormatting>
  <x:conditionalFormatting sqref="V18:V18">
    <x:cfRule type="expression" dxfId="614" priority="443">
      <x:formula>AND(V18&lt;&gt;"",COUNTIFS(Milestones!$C$11:$C$210,V18,Milestones!$B$11:$B$210,"&lt;&gt;",Milestones!$F$11:$F$210,"&lt;&gt;Cancelled")&gt;0)</x:formula>
    </x:cfRule>
    <x:cfRule type="expression" dxfId="615" priority="444">
      <x:formula>AND(V18&lt;&gt;"",V18&lt;Milestones!$F$5,COUNTIFS(Milestones!$C$11:$C$210,V18,Milestones!$B$11:$B$210,"&lt;&gt;",Milestones!$F$11:$F$210,"&lt;&gt;Cancelled",Milestones!$F$11:$F$210,"&lt;&gt;Complete")&gt;0)</x:formula>
    </x:cfRule>
  </x:conditionalFormatting>
  <x:conditionalFormatting sqref="W18:W18">
    <x:cfRule type="expression" dxfId="616" priority="445">
      <x:formula>AND(W18&lt;&gt;"",COUNTIFS(Milestones!$C$11:$C$210,W18,Milestones!$B$11:$B$210,"&lt;&gt;",Milestones!$F$11:$F$210,"&lt;&gt;Cancelled")&gt;0)</x:formula>
    </x:cfRule>
    <x:cfRule type="expression" dxfId="617" priority="446">
      <x:formula>AND(W18&lt;&gt;"",W18&lt;Milestones!$F$5,COUNTIFS(Milestones!$C$11:$C$210,W18,Milestones!$B$11:$B$210,"&lt;&gt;",Milestones!$F$11:$F$210,"&lt;&gt;Cancelled",Milestones!$F$11:$F$210,"&lt;&gt;Complete")&gt;0)</x:formula>
    </x:cfRule>
  </x:conditionalFormatting>
  <x:conditionalFormatting sqref="X18:X18">
    <x:cfRule type="expression" dxfId="618" priority="447">
      <x:formula>AND(X18&lt;&gt;"",COUNTIFS(Milestones!$C$11:$C$210,X18,Milestones!$B$11:$B$210,"&lt;&gt;",Milestones!$F$11:$F$210,"&lt;&gt;Cancelled")&gt;0)</x:formula>
    </x:cfRule>
    <x:cfRule type="expression" dxfId="619" priority="448">
      <x:formula>AND(X18&lt;&gt;"",X18&lt;Milestones!$F$5,COUNTIFS(Milestones!$C$11:$C$210,X18,Milestones!$B$11:$B$210,"&lt;&gt;",Milestones!$F$11:$F$210,"&lt;&gt;Cancelled",Milestones!$F$11:$F$210,"&lt;&gt;Complete")&gt;0)</x:formula>
    </x:cfRule>
  </x:conditionalFormatting>
  <x:conditionalFormatting sqref="R19:R19">
    <x:cfRule type="expression" dxfId="620" priority="449">
      <x:formula>AND(R19&lt;&gt;"",COUNTIFS(Milestones!$C$11:$C$210,R19,Milestones!$B$11:$B$210,"&lt;&gt;",Milestones!$F$11:$F$210,"&lt;&gt;Cancelled")&gt;0)</x:formula>
    </x:cfRule>
    <x:cfRule type="expression" dxfId="621" priority="450">
      <x:formula>AND(R19&lt;&gt;"",R19&lt;Milestones!$F$5,COUNTIFS(Milestones!$C$11:$C$210,R19,Milestones!$B$11:$B$210,"&lt;&gt;",Milestones!$F$11:$F$210,"&lt;&gt;Cancelled",Milestones!$F$11:$F$210,"&lt;&gt;Complete")&gt;0)</x:formula>
    </x:cfRule>
  </x:conditionalFormatting>
  <x:conditionalFormatting sqref="S19:S19">
    <x:cfRule type="expression" dxfId="622" priority="451">
      <x:formula>AND(S19&lt;&gt;"",COUNTIFS(Milestones!$C$11:$C$210,S19,Milestones!$B$11:$B$210,"&lt;&gt;",Milestones!$F$11:$F$210,"&lt;&gt;Cancelled")&gt;0)</x:formula>
    </x:cfRule>
    <x:cfRule type="expression" dxfId="623" priority="452">
      <x:formula>AND(S19&lt;&gt;"",S19&lt;Milestones!$F$5,COUNTIFS(Milestones!$C$11:$C$210,S19,Milestones!$B$11:$B$210,"&lt;&gt;",Milestones!$F$11:$F$210,"&lt;&gt;Cancelled",Milestones!$F$11:$F$210,"&lt;&gt;Complete")&gt;0)</x:formula>
    </x:cfRule>
  </x:conditionalFormatting>
  <x:conditionalFormatting sqref="T19:T19">
    <x:cfRule type="expression" dxfId="624" priority="453">
      <x:formula>AND(T19&lt;&gt;"",COUNTIFS(Milestones!$C$11:$C$210,T19,Milestones!$B$11:$B$210,"&lt;&gt;",Milestones!$F$11:$F$210,"&lt;&gt;Cancelled")&gt;0)</x:formula>
    </x:cfRule>
    <x:cfRule type="expression" dxfId="625" priority="454">
      <x:formula>AND(T19&lt;&gt;"",T19&lt;Milestones!$F$5,COUNTIFS(Milestones!$C$11:$C$210,T19,Milestones!$B$11:$B$210,"&lt;&gt;",Milestones!$F$11:$F$210,"&lt;&gt;Cancelled",Milestones!$F$11:$F$210,"&lt;&gt;Complete")&gt;0)</x:formula>
    </x:cfRule>
  </x:conditionalFormatting>
  <x:conditionalFormatting sqref="U19:U19">
    <x:cfRule type="expression" dxfId="626" priority="455">
      <x:formula>AND(U19&lt;&gt;"",COUNTIFS(Milestones!$C$11:$C$210,U19,Milestones!$B$11:$B$210,"&lt;&gt;",Milestones!$F$11:$F$210,"&lt;&gt;Cancelled")&gt;0)</x:formula>
    </x:cfRule>
    <x:cfRule type="expression" dxfId="627" priority="456">
      <x:formula>AND(U19&lt;&gt;"",U19&lt;Milestones!$F$5,COUNTIFS(Milestones!$C$11:$C$210,U19,Milestones!$B$11:$B$210,"&lt;&gt;",Milestones!$F$11:$F$210,"&lt;&gt;Cancelled",Milestones!$F$11:$F$210,"&lt;&gt;Complete")&gt;0)</x:formula>
    </x:cfRule>
  </x:conditionalFormatting>
  <x:conditionalFormatting sqref="V19:V19">
    <x:cfRule type="expression" dxfId="628" priority="457">
      <x:formula>AND(V19&lt;&gt;"",COUNTIFS(Milestones!$C$11:$C$210,V19,Milestones!$B$11:$B$210,"&lt;&gt;",Milestones!$F$11:$F$210,"&lt;&gt;Cancelled")&gt;0)</x:formula>
    </x:cfRule>
    <x:cfRule type="expression" dxfId="629" priority="458">
      <x:formula>AND(V19&lt;&gt;"",V19&lt;Milestones!$F$5,COUNTIFS(Milestones!$C$11:$C$210,V19,Milestones!$B$11:$B$210,"&lt;&gt;",Milestones!$F$11:$F$210,"&lt;&gt;Cancelled",Milestones!$F$11:$F$210,"&lt;&gt;Complete")&gt;0)</x:formula>
    </x:cfRule>
  </x:conditionalFormatting>
  <x:conditionalFormatting sqref="W19:W19">
    <x:cfRule type="expression" dxfId="630" priority="459">
      <x:formula>AND(W19&lt;&gt;"",COUNTIFS(Milestones!$C$11:$C$210,W19,Milestones!$B$11:$B$210,"&lt;&gt;",Milestones!$F$11:$F$210,"&lt;&gt;Cancelled")&gt;0)</x:formula>
    </x:cfRule>
    <x:cfRule type="expression" dxfId="631" priority="460">
      <x:formula>AND(W19&lt;&gt;"",W19&lt;Milestones!$F$5,COUNTIFS(Milestones!$C$11:$C$210,W19,Milestones!$B$11:$B$210,"&lt;&gt;",Milestones!$F$11:$F$210,"&lt;&gt;Cancelled",Milestones!$F$11:$F$210,"&lt;&gt;Complete")&gt;0)</x:formula>
    </x:cfRule>
  </x:conditionalFormatting>
  <x:conditionalFormatting sqref="X19:X19">
    <x:cfRule type="expression" dxfId="632" priority="461">
      <x:formula>AND(X19&lt;&gt;"",COUNTIFS(Milestones!$C$11:$C$210,X19,Milestones!$B$11:$B$210,"&lt;&gt;",Milestones!$F$11:$F$210,"&lt;&gt;Cancelled")&gt;0)</x:formula>
    </x:cfRule>
    <x:cfRule type="expression" dxfId="633" priority="462">
      <x:formula>AND(X19&lt;&gt;"",X19&lt;Milestones!$F$5,COUNTIFS(Milestones!$C$11:$C$210,X19,Milestones!$B$11:$B$210,"&lt;&gt;",Milestones!$F$11:$F$210,"&lt;&gt;Cancelled",Milestones!$F$11:$F$210,"&lt;&gt;Complete")&gt;0)</x:formula>
    </x:cfRule>
  </x:conditionalFormatting>
  <x:conditionalFormatting sqref="R20:R20">
    <x:cfRule type="expression" dxfId="634" priority="463">
      <x:formula>AND(R20&lt;&gt;"",COUNTIFS(Milestones!$C$11:$C$210,R20,Milestones!$B$11:$B$210,"&lt;&gt;",Milestones!$F$11:$F$210,"&lt;&gt;Cancelled")&gt;0)</x:formula>
    </x:cfRule>
    <x:cfRule type="expression" dxfId="635" priority="464">
      <x:formula>AND(R20&lt;&gt;"",R20&lt;Milestones!$F$5,COUNTIFS(Milestones!$C$11:$C$210,R20,Milestones!$B$11:$B$210,"&lt;&gt;",Milestones!$F$11:$F$210,"&lt;&gt;Cancelled",Milestones!$F$11:$F$210,"&lt;&gt;Complete")&gt;0)</x:formula>
    </x:cfRule>
  </x:conditionalFormatting>
  <x:conditionalFormatting sqref="S20:S20">
    <x:cfRule type="expression" dxfId="636" priority="465">
      <x:formula>AND(S20&lt;&gt;"",COUNTIFS(Milestones!$C$11:$C$210,S20,Milestones!$B$11:$B$210,"&lt;&gt;",Milestones!$F$11:$F$210,"&lt;&gt;Cancelled")&gt;0)</x:formula>
    </x:cfRule>
    <x:cfRule type="expression" dxfId="637" priority="466">
      <x:formula>AND(S20&lt;&gt;"",S20&lt;Milestones!$F$5,COUNTIFS(Milestones!$C$11:$C$210,S20,Milestones!$B$11:$B$210,"&lt;&gt;",Milestones!$F$11:$F$210,"&lt;&gt;Cancelled",Milestones!$F$11:$F$210,"&lt;&gt;Complete")&gt;0)</x:formula>
    </x:cfRule>
  </x:conditionalFormatting>
  <x:conditionalFormatting sqref="T20:T20">
    <x:cfRule type="expression" dxfId="638" priority="467">
      <x:formula>AND(T20&lt;&gt;"",COUNTIFS(Milestones!$C$11:$C$210,T20,Milestones!$B$11:$B$210,"&lt;&gt;",Milestones!$F$11:$F$210,"&lt;&gt;Cancelled")&gt;0)</x:formula>
    </x:cfRule>
    <x:cfRule type="expression" dxfId="639" priority="468">
      <x:formula>AND(T20&lt;&gt;"",T20&lt;Milestones!$F$5,COUNTIFS(Milestones!$C$11:$C$210,T20,Milestones!$B$11:$B$210,"&lt;&gt;",Milestones!$F$11:$F$210,"&lt;&gt;Cancelled",Milestones!$F$11:$F$210,"&lt;&gt;Complete")&gt;0)</x:formula>
    </x:cfRule>
  </x:conditionalFormatting>
  <x:conditionalFormatting sqref="U20:U20">
    <x:cfRule type="expression" dxfId="640" priority="469">
      <x:formula>AND(U20&lt;&gt;"",COUNTIFS(Milestones!$C$11:$C$210,U20,Milestones!$B$11:$B$210,"&lt;&gt;",Milestones!$F$11:$F$210,"&lt;&gt;Cancelled")&gt;0)</x:formula>
    </x:cfRule>
    <x:cfRule type="expression" dxfId="641" priority="470">
      <x:formula>AND(U20&lt;&gt;"",U20&lt;Milestones!$F$5,COUNTIFS(Milestones!$C$11:$C$210,U20,Milestones!$B$11:$B$210,"&lt;&gt;",Milestones!$F$11:$F$210,"&lt;&gt;Cancelled",Milestones!$F$11:$F$210,"&lt;&gt;Complete")&gt;0)</x:formula>
    </x:cfRule>
  </x:conditionalFormatting>
  <x:conditionalFormatting sqref="V20:V20">
    <x:cfRule type="expression" dxfId="642" priority="471">
      <x:formula>AND(V20&lt;&gt;"",COUNTIFS(Milestones!$C$11:$C$210,V20,Milestones!$B$11:$B$210,"&lt;&gt;",Milestones!$F$11:$F$210,"&lt;&gt;Cancelled")&gt;0)</x:formula>
    </x:cfRule>
    <x:cfRule type="expression" dxfId="643" priority="472">
      <x:formula>AND(V20&lt;&gt;"",V20&lt;Milestones!$F$5,COUNTIFS(Milestones!$C$11:$C$210,V20,Milestones!$B$11:$B$210,"&lt;&gt;",Milestones!$F$11:$F$210,"&lt;&gt;Cancelled",Milestones!$F$11:$F$210,"&lt;&gt;Complete")&gt;0)</x:formula>
    </x:cfRule>
  </x:conditionalFormatting>
  <x:conditionalFormatting sqref="W20:W20">
    <x:cfRule type="expression" dxfId="644" priority="473">
      <x:formula>AND(W20&lt;&gt;"",COUNTIFS(Milestones!$C$11:$C$210,W20,Milestones!$B$11:$B$210,"&lt;&gt;",Milestones!$F$11:$F$210,"&lt;&gt;Cancelled")&gt;0)</x:formula>
    </x:cfRule>
    <x:cfRule type="expression" dxfId="645" priority="474">
      <x:formula>AND(W20&lt;&gt;"",W20&lt;Milestones!$F$5,COUNTIFS(Milestones!$C$11:$C$210,W20,Milestones!$B$11:$B$210,"&lt;&gt;",Milestones!$F$11:$F$210,"&lt;&gt;Cancelled",Milestones!$F$11:$F$210,"&lt;&gt;Complete")&gt;0)</x:formula>
    </x:cfRule>
  </x:conditionalFormatting>
  <x:conditionalFormatting sqref="X20:X20">
    <x:cfRule type="expression" dxfId="646" priority="475">
      <x:formula>AND(X20&lt;&gt;"",COUNTIFS(Milestones!$C$11:$C$210,X20,Milestones!$B$11:$B$210,"&lt;&gt;",Milestones!$F$11:$F$210,"&lt;&gt;Cancelled")&gt;0)</x:formula>
    </x:cfRule>
    <x:cfRule type="expression" dxfId="647" priority="476">
      <x:formula>AND(X20&lt;&gt;"",X20&lt;Milestones!$F$5,COUNTIFS(Milestones!$C$11:$C$210,X20,Milestones!$B$11:$B$210,"&lt;&gt;",Milestones!$F$11:$F$210,"&lt;&gt;Cancelled",Milestones!$F$11:$F$210,"&lt;&gt;Complete")&gt;0)</x:formula>
    </x:cfRule>
  </x:conditionalFormatting>
  <x:conditionalFormatting sqref="R21:R21">
    <x:cfRule type="expression" dxfId="648" priority="477">
      <x:formula>AND(R21&lt;&gt;"",COUNTIFS(Milestones!$C$11:$C$210,R21,Milestones!$B$11:$B$210,"&lt;&gt;",Milestones!$F$11:$F$210,"&lt;&gt;Cancelled")&gt;0)</x:formula>
    </x:cfRule>
    <x:cfRule type="expression" dxfId="649" priority="478">
      <x:formula>AND(R21&lt;&gt;"",R21&lt;Milestones!$F$5,COUNTIFS(Milestones!$C$11:$C$210,R21,Milestones!$B$11:$B$210,"&lt;&gt;",Milestones!$F$11:$F$210,"&lt;&gt;Cancelled",Milestones!$F$11:$F$210,"&lt;&gt;Complete")&gt;0)</x:formula>
    </x:cfRule>
  </x:conditionalFormatting>
  <x:conditionalFormatting sqref="S21:S21">
    <x:cfRule type="expression" dxfId="650" priority="479">
      <x:formula>AND(S21&lt;&gt;"",COUNTIFS(Milestones!$C$11:$C$210,S21,Milestones!$B$11:$B$210,"&lt;&gt;",Milestones!$F$11:$F$210,"&lt;&gt;Cancelled")&gt;0)</x:formula>
    </x:cfRule>
    <x:cfRule type="expression" dxfId="651" priority="480">
      <x:formula>AND(S21&lt;&gt;"",S21&lt;Milestones!$F$5,COUNTIFS(Milestones!$C$11:$C$210,S21,Milestones!$B$11:$B$210,"&lt;&gt;",Milestones!$F$11:$F$210,"&lt;&gt;Cancelled",Milestones!$F$11:$F$210,"&lt;&gt;Complete")&gt;0)</x:formula>
    </x:cfRule>
  </x:conditionalFormatting>
  <x:conditionalFormatting sqref="T21:T21">
    <x:cfRule type="expression" dxfId="652" priority="481">
      <x:formula>AND(T21&lt;&gt;"",COUNTIFS(Milestones!$C$11:$C$210,T21,Milestones!$B$11:$B$210,"&lt;&gt;",Milestones!$F$11:$F$210,"&lt;&gt;Cancelled")&gt;0)</x:formula>
    </x:cfRule>
    <x:cfRule type="expression" dxfId="653" priority="482">
      <x:formula>AND(T21&lt;&gt;"",T21&lt;Milestones!$F$5,COUNTIFS(Milestones!$C$11:$C$210,T21,Milestones!$B$11:$B$210,"&lt;&gt;",Milestones!$F$11:$F$210,"&lt;&gt;Cancelled",Milestones!$F$11:$F$210,"&lt;&gt;Complete")&gt;0)</x:formula>
    </x:cfRule>
  </x:conditionalFormatting>
  <x:conditionalFormatting sqref="U21:U21">
    <x:cfRule type="expression" dxfId="654" priority="483">
      <x:formula>AND(U21&lt;&gt;"",COUNTIFS(Milestones!$C$11:$C$210,U21,Milestones!$B$11:$B$210,"&lt;&gt;",Milestones!$F$11:$F$210,"&lt;&gt;Cancelled")&gt;0)</x:formula>
    </x:cfRule>
    <x:cfRule type="expression" dxfId="655" priority="484">
      <x:formula>AND(U21&lt;&gt;"",U21&lt;Milestones!$F$5,COUNTIFS(Milestones!$C$11:$C$210,U21,Milestones!$B$11:$B$210,"&lt;&gt;",Milestones!$F$11:$F$210,"&lt;&gt;Cancelled",Milestones!$F$11:$F$210,"&lt;&gt;Complete")&gt;0)</x:formula>
    </x:cfRule>
  </x:conditionalFormatting>
  <x:conditionalFormatting sqref="V21:V21">
    <x:cfRule type="expression" dxfId="656" priority="485">
      <x:formula>AND(V21&lt;&gt;"",COUNTIFS(Milestones!$C$11:$C$210,V21,Milestones!$B$11:$B$210,"&lt;&gt;",Milestones!$F$11:$F$210,"&lt;&gt;Cancelled")&gt;0)</x:formula>
    </x:cfRule>
    <x:cfRule type="expression" dxfId="657" priority="486">
      <x:formula>AND(V21&lt;&gt;"",V21&lt;Milestones!$F$5,COUNTIFS(Milestones!$C$11:$C$210,V21,Milestones!$B$11:$B$210,"&lt;&gt;",Milestones!$F$11:$F$210,"&lt;&gt;Cancelled",Milestones!$F$11:$F$210,"&lt;&gt;Complete")&gt;0)</x:formula>
    </x:cfRule>
  </x:conditionalFormatting>
  <x:conditionalFormatting sqref="W21:W21">
    <x:cfRule type="expression" dxfId="658" priority="487">
      <x:formula>AND(W21&lt;&gt;"",COUNTIFS(Milestones!$C$11:$C$210,W21,Milestones!$B$11:$B$210,"&lt;&gt;",Milestones!$F$11:$F$210,"&lt;&gt;Cancelled")&gt;0)</x:formula>
    </x:cfRule>
    <x:cfRule type="expression" dxfId="659" priority="488">
      <x:formula>AND(W21&lt;&gt;"",W21&lt;Milestones!$F$5,COUNTIFS(Milestones!$C$11:$C$210,W21,Milestones!$B$11:$B$210,"&lt;&gt;",Milestones!$F$11:$F$210,"&lt;&gt;Cancelled",Milestones!$F$11:$F$210,"&lt;&gt;Complete")&gt;0)</x:formula>
    </x:cfRule>
  </x:conditionalFormatting>
  <x:conditionalFormatting sqref="X21:X21">
    <x:cfRule type="expression" dxfId="660" priority="489">
      <x:formula>AND(X21&lt;&gt;"",COUNTIFS(Milestones!$C$11:$C$210,X21,Milestones!$B$11:$B$210,"&lt;&gt;",Milestones!$F$11:$F$210,"&lt;&gt;Cancelled")&gt;0)</x:formula>
    </x:cfRule>
    <x:cfRule type="expression" dxfId="661" priority="490">
      <x:formula>AND(X21&lt;&gt;"",X21&lt;Milestones!$F$5,COUNTIFS(Milestones!$C$11:$C$210,X21,Milestones!$B$11:$B$210,"&lt;&gt;",Milestones!$F$11:$F$210,"&lt;&gt;Cancelled",Milestones!$F$11:$F$210,"&lt;&gt;Complete")&gt;0)</x:formula>
    </x:cfRule>
  </x:conditionalFormatting>
  <x:conditionalFormatting sqref="R22:R22">
    <x:cfRule type="expression" dxfId="662" priority="491">
      <x:formula>AND(R22&lt;&gt;"",COUNTIFS(Milestones!$C$11:$C$210,R22,Milestones!$B$11:$B$210,"&lt;&gt;",Milestones!$F$11:$F$210,"&lt;&gt;Cancelled")&gt;0)</x:formula>
    </x:cfRule>
    <x:cfRule type="expression" dxfId="663" priority="492">
      <x:formula>AND(R22&lt;&gt;"",R22&lt;Milestones!$F$5,COUNTIFS(Milestones!$C$11:$C$210,R22,Milestones!$B$11:$B$210,"&lt;&gt;",Milestones!$F$11:$F$210,"&lt;&gt;Cancelled",Milestones!$F$11:$F$210,"&lt;&gt;Complete")&gt;0)</x:formula>
    </x:cfRule>
  </x:conditionalFormatting>
  <x:conditionalFormatting sqref="S22:S22">
    <x:cfRule type="expression" dxfId="664" priority="493">
      <x:formula>AND(S22&lt;&gt;"",COUNTIFS(Milestones!$C$11:$C$210,S22,Milestones!$B$11:$B$210,"&lt;&gt;",Milestones!$F$11:$F$210,"&lt;&gt;Cancelled")&gt;0)</x:formula>
    </x:cfRule>
    <x:cfRule type="expression" dxfId="665" priority="494">
      <x:formula>AND(S22&lt;&gt;"",S22&lt;Milestones!$F$5,COUNTIFS(Milestones!$C$11:$C$210,S22,Milestones!$B$11:$B$210,"&lt;&gt;",Milestones!$F$11:$F$210,"&lt;&gt;Cancelled",Milestones!$F$11:$F$210,"&lt;&gt;Complete")&gt;0)</x:formula>
    </x:cfRule>
  </x:conditionalFormatting>
  <x:conditionalFormatting sqref="T22:T22">
    <x:cfRule type="expression" dxfId="666" priority="495">
      <x:formula>AND(T22&lt;&gt;"",COUNTIFS(Milestones!$C$11:$C$210,T22,Milestones!$B$11:$B$210,"&lt;&gt;",Milestones!$F$11:$F$210,"&lt;&gt;Cancelled")&gt;0)</x:formula>
    </x:cfRule>
    <x:cfRule type="expression" dxfId="667" priority="496">
      <x:formula>AND(T22&lt;&gt;"",T22&lt;Milestones!$F$5,COUNTIFS(Milestones!$C$11:$C$210,T22,Milestones!$B$11:$B$210,"&lt;&gt;",Milestones!$F$11:$F$210,"&lt;&gt;Cancelled",Milestones!$F$11:$F$210,"&lt;&gt;Complete")&gt;0)</x:formula>
    </x:cfRule>
  </x:conditionalFormatting>
  <x:conditionalFormatting sqref="U22:U22">
    <x:cfRule type="expression" dxfId="668" priority="497">
      <x:formula>AND(U22&lt;&gt;"",COUNTIFS(Milestones!$C$11:$C$210,U22,Milestones!$B$11:$B$210,"&lt;&gt;",Milestones!$F$11:$F$210,"&lt;&gt;Cancelled")&gt;0)</x:formula>
    </x:cfRule>
    <x:cfRule type="expression" dxfId="669" priority="498">
      <x:formula>AND(U22&lt;&gt;"",U22&lt;Milestones!$F$5,COUNTIFS(Milestones!$C$11:$C$210,U22,Milestones!$B$11:$B$210,"&lt;&gt;",Milestones!$F$11:$F$210,"&lt;&gt;Cancelled",Milestones!$F$11:$F$210,"&lt;&gt;Complete")&gt;0)</x:formula>
    </x:cfRule>
  </x:conditionalFormatting>
  <x:conditionalFormatting sqref="V22:V22">
    <x:cfRule type="expression" dxfId="670" priority="499">
      <x:formula>AND(V22&lt;&gt;"",COUNTIFS(Milestones!$C$11:$C$210,V22,Milestones!$B$11:$B$210,"&lt;&gt;",Milestones!$F$11:$F$210,"&lt;&gt;Cancelled")&gt;0)</x:formula>
    </x:cfRule>
    <x:cfRule type="expression" dxfId="671" priority="500">
      <x:formula>AND(V22&lt;&gt;"",V22&lt;Milestones!$F$5,COUNTIFS(Milestones!$C$11:$C$210,V22,Milestones!$B$11:$B$210,"&lt;&gt;",Milestones!$F$11:$F$210,"&lt;&gt;Cancelled",Milestones!$F$11:$F$210,"&lt;&gt;Complete")&gt;0)</x:formula>
    </x:cfRule>
  </x:conditionalFormatting>
  <x:conditionalFormatting sqref="W22:W22">
    <x:cfRule type="expression" dxfId="672" priority="501">
      <x:formula>AND(W22&lt;&gt;"",COUNTIFS(Milestones!$C$11:$C$210,W22,Milestones!$B$11:$B$210,"&lt;&gt;",Milestones!$F$11:$F$210,"&lt;&gt;Cancelled")&gt;0)</x:formula>
    </x:cfRule>
    <x:cfRule type="expression" dxfId="673" priority="502">
      <x:formula>AND(W22&lt;&gt;"",W22&lt;Milestones!$F$5,COUNTIFS(Milestones!$C$11:$C$210,W22,Milestones!$B$11:$B$210,"&lt;&gt;",Milestones!$F$11:$F$210,"&lt;&gt;Cancelled",Milestones!$F$11:$F$210,"&lt;&gt;Complete")&gt;0)</x:formula>
    </x:cfRule>
  </x:conditionalFormatting>
  <x:conditionalFormatting sqref="X22:X22">
    <x:cfRule type="expression" dxfId="674" priority="503">
      <x:formula>AND(X22&lt;&gt;"",COUNTIFS(Milestones!$C$11:$C$210,X22,Milestones!$B$11:$B$210,"&lt;&gt;",Milestones!$F$11:$F$210,"&lt;&gt;Cancelled")&gt;0)</x:formula>
    </x:cfRule>
    <x:cfRule type="expression" dxfId="675" priority="504">
      <x:formula>AND(X22&lt;&gt;"",X22&lt;Milestones!$F$5,COUNTIFS(Milestones!$C$11:$C$210,X22,Milestones!$B$11:$B$210,"&lt;&gt;",Milestones!$F$11:$F$210,"&lt;&gt;Cancelled",Milestones!$F$11:$F$210,"&lt;&gt;Complete")&gt;0)</x:formula>
    </x:cfRule>
  </x:conditionalFormatting>
  <x:conditionalFormatting sqref="B25:B25">
    <x:cfRule type="expression" dxfId="676" priority="505">
      <x:formula>AND(B25&lt;&gt;"",COUNTIFS(Milestones!$C$11:$C$210,B25,Milestones!$B$11:$B$210,"&lt;&gt;",Milestones!$F$11:$F$210,"&lt;&gt;Cancelled")&gt;0)</x:formula>
    </x:cfRule>
    <x:cfRule type="expression" dxfId="677" priority="506">
      <x:formula>AND(B25&lt;&gt;"",B25&lt;Milestones!$F$5,COUNTIFS(Milestones!$C$11:$C$210,B25,Milestones!$B$11:$B$210,"&lt;&gt;",Milestones!$F$11:$F$210,"&lt;&gt;Cancelled",Milestones!$F$11:$F$210,"&lt;&gt;Complete")&gt;0)</x:formula>
    </x:cfRule>
  </x:conditionalFormatting>
  <x:conditionalFormatting sqref="C25:C25">
    <x:cfRule type="expression" dxfId="678" priority="507">
      <x:formula>AND(C25&lt;&gt;"",COUNTIFS(Milestones!$C$11:$C$210,C25,Milestones!$B$11:$B$210,"&lt;&gt;",Milestones!$F$11:$F$210,"&lt;&gt;Cancelled")&gt;0)</x:formula>
    </x:cfRule>
    <x:cfRule type="expression" dxfId="679" priority="508">
      <x:formula>AND(C25&lt;&gt;"",C25&lt;Milestones!$F$5,COUNTIFS(Milestones!$C$11:$C$210,C25,Milestones!$B$11:$B$210,"&lt;&gt;",Milestones!$F$11:$F$210,"&lt;&gt;Cancelled",Milestones!$F$11:$F$210,"&lt;&gt;Complete")&gt;0)</x:formula>
    </x:cfRule>
  </x:conditionalFormatting>
  <x:conditionalFormatting sqref="D25:D25">
    <x:cfRule type="expression" dxfId="680" priority="509">
      <x:formula>AND(D25&lt;&gt;"",COUNTIFS(Milestones!$C$11:$C$210,D25,Milestones!$B$11:$B$210,"&lt;&gt;",Milestones!$F$11:$F$210,"&lt;&gt;Cancelled")&gt;0)</x:formula>
    </x:cfRule>
    <x:cfRule type="expression" dxfId="681" priority="510">
      <x:formula>AND(D25&lt;&gt;"",D25&lt;Milestones!$F$5,COUNTIFS(Milestones!$C$11:$C$210,D25,Milestones!$B$11:$B$210,"&lt;&gt;",Milestones!$F$11:$F$210,"&lt;&gt;Cancelled",Milestones!$F$11:$F$210,"&lt;&gt;Complete")&gt;0)</x:formula>
    </x:cfRule>
  </x:conditionalFormatting>
  <x:conditionalFormatting sqref="E25:E25">
    <x:cfRule type="expression" dxfId="682" priority="511">
      <x:formula>AND(E25&lt;&gt;"",COUNTIFS(Milestones!$C$11:$C$210,E25,Milestones!$B$11:$B$210,"&lt;&gt;",Milestones!$F$11:$F$210,"&lt;&gt;Cancelled")&gt;0)</x:formula>
    </x:cfRule>
    <x:cfRule type="expression" dxfId="683" priority="512">
      <x:formula>AND(E25&lt;&gt;"",E25&lt;Milestones!$F$5,COUNTIFS(Milestones!$C$11:$C$210,E25,Milestones!$B$11:$B$210,"&lt;&gt;",Milestones!$F$11:$F$210,"&lt;&gt;Cancelled",Milestones!$F$11:$F$210,"&lt;&gt;Complete")&gt;0)</x:formula>
    </x:cfRule>
  </x:conditionalFormatting>
  <x:conditionalFormatting sqref="F25:F25">
    <x:cfRule type="expression" dxfId="684" priority="513">
      <x:formula>AND(F25&lt;&gt;"",COUNTIFS(Milestones!$C$11:$C$210,F25,Milestones!$B$11:$B$210,"&lt;&gt;",Milestones!$F$11:$F$210,"&lt;&gt;Cancelled")&gt;0)</x:formula>
    </x:cfRule>
    <x:cfRule type="expression" dxfId="685" priority="514">
      <x:formula>AND(F25&lt;&gt;"",F25&lt;Milestones!$F$5,COUNTIFS(Milestones!$C$11:$C$210,F25,Milestones!$B$11:$B$210,"&lt;&gt;",Milestones!$F$11:$F$210,"&lt;&gt;Cancelled",Milestones!$F$11:$F$210,"&lt;&gt;Complete")&gt;0)</x:formula>
    </x:cfRule>
  </x:conditionalFormatting>
  <x:conditionalFormatting sqref="G25:G25">
    <x:cfRule type="expression" dxfId="686" priority="515">
      <x:formula>AND(G25&lt;&gt;"",COUNTIFS(Milestones!$C$11:$C$210,G25,Milestones!$B$11:$B$210,"&lt;&gt;",Milestones!$F$11:$F$210,"&lt;&gt;Cancelled")&gt;0)</x:formula>
    </x:cfRule>
    <x:cfRule type="expression" dxfId="687" priority="516">
      <x:formula>AND(G25&lt;&gt;"",G25&lt;Milestones!$F$5,COUNTIFS(Milestones!$C$11:$C$210,G25,Milestones!$B$11:$B$210,"&lt;&gt;",Milestones!$F$11:$F$210,"&lt;&gt;Cancelled",Milestones!$F$11:$F$210,"&lt;&gt;Complete")&gt;0)</x:formula>
    </x:cfRule>
  </x:conditionalFormatting>
  <x:conditionalFormatting sqref="H25:H25">
    <x:cfRule type="expression" dxfId="688" priority="517">
      <x:formula>AND(H25&lt;&gt;"",COUNTIFS(Milestones!$C$11:$C$210,H25,Milestones!$B$11:$B$210,"&lt;&gt;",Milestones!$F$11:$F$210,"&lt;&gt;Cancelled")&gt;0)</x:formula>
    </x:cfRule>
    <x:cfRule type="expression" dxfId="689" priority="518">
      <x:formula>AND(H25&lt;&gt;"",H25&lt;Milestones!$F$5,COUNTIFS(Milestones!$C$11:$C$210,H25,Milestones!$B$11:$B$210,"&lt;&gt;",Milestones!$F$11:$F$210,"&lt;&gt;Cancelled",Milestones!$F$11:$F$210,"&lt;&gt;Complete")&gt;0)</x:formula>
    </x:cfRule>
  </x:conditionalFormatting>
  <x:conditionalFormatting sqref="B26:B26">
    <x:cfRule type="expression" dxfId="690" priority="519">
      <x:formula>AND(B26&lt;&gt;"",COUNTIFS(Milestones!$C$11:$C$210,B26,Milestones!$B$11:$B$210,"&lt;&gt;",Milestones!$F$11:$F$210,"&lt;&gt;Cancelled")&gt;0)</x:formula>
    </x:cfRule>
    <x:cfRule type="expression" dxfId="691" priority="520">
      <x:formula>AND(B26&lt;&gt;"",B26&lt;Milestones!$F$5,COUNTIFS(Milestones!$C$11:$C$210,B26,Milestones!$B$11:$B$210,"&lt;&gt;",Milestones!$F$11:$F$210,"&lt;&gt;Cancelled",Milestones!$F$11:$F$210,"&lt;&gt;Complete")&gt;0)</x:formula>
    </x:cfRule>
  </x:conditionalFormatting>
  <x:conditionalFormatting sqref="C26:C26">
    <x:cfRule type="expression" dxfId="692" priority="521">
      <x:formula>AND(C26&lt;&gt;"",COUNTIFS(Milestones!$C$11:$C$210,C26,Milestones!$B$11:$B$210,"&lt;&gt;",Milestones!$F$11:$F$210,"&lt;&gt;Cancelled")&gt;0)</x:formula>
    </x:cfRule>
    <x:cfRule type="expression" dxfId="693" priority="522">
      <x:formula>AND(C26&lt;&gt;"",C26&lt;Milestones!$F$5,COUNTIFS(Milestones!$C$11:$C$210,C26,Milestones!$B$11:$B$210,"&lt;&gt;",Milestones!$F$11:$F$210,"&lt;&gt;Cancelled",Milestones!$F$11:$F$210,"&lt;&gt;Complete")&gt;0)</x:formula>
    </x:cfRule>
  </x:conditionalFormatting>
  <x:conditionalFormatting sqref="D26:D26">
    <x:cfRule type="expression" dxfId="694" priority="523">
      <x:formula>AND(D26&lt;&gt;"",COUNTIFS(Milestones!$C$11:$C$210,D26,Milestones!$B$11:$B$210,"&lt;&gt;",Milestones!$F$11:$F$210,"&lt;&gt;Cancelled")&gt;0)</x:formula>
    </x:cfRule>
    <x:cfRule type="expression" dxfId="695" priority="524">
      <x:formula>AND(D26&lt;&gt;"",D26&lt;Milestones!$F$5,COUNTIFS(Milestones!$C$11:$C$210,D26,Milestones!$B$11:$B$210,"&lt;&gt;",Milestones!$F$11:$F$210,"&lt;&gt;Cancelled",Milestones!$F$11:$F$210,"&lt;&gt;Complete")&gt;0)</x:formula>
    </x:cfRule>
  </x:conditionalFormatting>
  <x:conditionalFormatting sqref="E26:E26">
    <x:cfRule type="expression" dxfId="696" priority="525">
      <x:formula>AND(E26&lt;&gt;"",COUNTIFS(Milestones!$C$11:$C$210,E26,Milestones!$B$11:$B$210,"&lt;&gt;",Milestones!$F$11:$F$210,"&lt;&gt;Cancelled")&gt;0)</x:formula>
    </x:cfRule>
    <x:cfRule type="expression" dxfId="697" priority="526">
      <x:formula>AND(E26&lt;&gt;"",E26&lt;Milestones!$F$5,COUNTIFS(Milestones!$C$11:$C$210,E26,Milestones!$B$11:$B$210,"&lt;&gt;",Milestones!$F$11:$F$210,"&lt;&gt;Cancelled",Milestones!$F$11:$F$210,"&lt;&gt;Complete")&gt;0)</x:formula>
    </x:cfRule>
  </x:conditionalFormatting>
  <x:conditionalFormatting sqref="F26:F26">
    <x:cfRule type="expression" dxfId="698" priority="527">
      <x:formula>AND(F26&lt;&gt;"",COUNTIFS(Milestones!$C$11:$C$210,F26,Milestones!$B$11:$B$210,"&lt;&gt;",Milestones!$F$11:$F$210,"&lt;&gt;Cancelled")&gt;0)</x:formula>
    </x:cfRule>
    <x:cfRule type="expression" dxfId="699" priority="528">
      <x:formula>AND(F26&lt;&gt;"",F26&lt;Milestones!$F$5,COUNTIFS(Milestones!$C$11:$C$210,F26,Milestones!$B$11:$B$210,"&lt;&gt;",Milestones!$F$11:$F$210,"&lt;&gt;Cancelled",Milestones!$F$11:$F$210,"&lt;&gt;Complete")&gt;0)</x:formula>
    </x:cfRule>
  </x:conditionalFormatting>
  <x:conditionalFormatting sqref="G26:G26">
    <x:cfRule type="expression" dxfId="700" priority="529">
      <x:formula>AND(G26&lt;&gt;"",COUNTIFS(Milestones!$C$11:$C$210,G26,Milestones!$B$11:$B$210,"&lt;&gt;",Milestones!$F$11:$F$210,"&lt;&gt;Cancelled")&gt;0)</x:formula>
    </x:cfRule>
    <x:cfRule type="expression" dxfId="701" priority="530">
      <x:formula>AND(G26&lt;&gt;"",G26&lt;Milestones!$F$5,COUNTIFS(Milestones!$C$11:$C$210,G26,Milestones!$B$11:$B$210,"&lt;&gt;",Milestones!$F$11:$F$210,"&lt;&gt;Cancelled",Milestones!$F$11:$F$210,"&lt;&gt;Complete")&gt;0)</x:formula>
    </x:cfRule>
  </x:conditionalFormatting>
  <x:conditionalFormatting sqref="H26:H26">
    <x:cfRule type="expression" dxfId="702" priority="531">
      <x:formula>AND(H26&lt;&gt;"",COUNTIFS(Milestones!$C$11:$C$210,H26,Milestones!$B$11:$B$210,"&lt;&gt;",Milestones!$F$11:$F$210,"&lt;&gt;Cancelled")&gt;0)</x:formula>
    </x:cfRule>
    <x:cfRule type="expression" dxfId="703" priority="532">
      <x:formula>AND(H26&lt;&gt;"",H26&lt;Milestones!$F$5,COUNTIFS(Milestones!$C$11:$C$210,H26,Milestones!$B$11:$B$210,"&lt;&gt;",Milestones!$F$11:$F$210,"&lt;&gt;Cancelled",Milestones!$F$11:$F$210,"&lt;&gt;Complete")&gt;0)</x:formula>
    </x:cfRule>
  </x:conditionalFormatting>
  <x:conditionalFormatting sqref="B27:B27">
    <x:cfRule type="expression" dxfId="704" priority="533">
      <x:formula>AND(B27&lt;&gt;"",COUNTIFS(Milestones!$C$11:$C$210,B27,Milestones!$B$11:$B$210,"&lt;&gt;",Milestones!$F$11:$F$210,"&lt;&gt;Cancelled")&gt;0)</x:formula>
    </x:cfRule>
    <x:cfRule type="expression" dxfId="705" priority="534">
      <x:formula>AND(B27&lt;&gt;"",B27&lt;Milestones!$F$5,COUNTIFS(Milestones!$C$11:$C$210,B27,Milestones!$B$11:$B$210,"&lt;&gt;",Milestones!$F$11:$F$210,"&lt;&gt;Cancelled",Milestones!$F$11:$F$210,"&lt;&gt;Complete")&gt;0)</x:formula>
    </x:cfRule>
  </x:conditionalFormatting>
  <x:conditionalFormatting sqref="C27:C27">
    <x:cfRule type="expression" dxfId="706" priority="535">
      <x:formula>AND(C27&lt;&gt;"",COUNTIFS(Milestones!$C$11:$C$210,C27,Milestones!$B$11:$B$210,"&lt;&gt;",Milestones!$F$11:$F$210,"&lt;&gt;Cancelled")&gt;0)</x:formula>
    </x:cfRule>
    <x:cfRule type="expression" dxfId="707" priority="536">
      <x:formula>AND(C27&lt;&gt;"",C27&lt;Milestones!$F$5,COUNTIFS(Milestones!$C$11:$C$210,C27,Milestones!$B$11:$B$210,"&lt;&gt;",Milestones!$F$11:$F$210,"&lt;&gt;Cancelled",Milestones!$F$11:$F$210,"&lt;&gt;Complete")&gt;0)</x:formula>
    </x:cfRule>
  </x:conditionalFormatting>
  <x:conditionalFormatting sqref="D27:D27">
    <x:cfRule type="expression" dxfId="708" priority="537">
      <x:formula>AND(D27&lt;&gt;"",COUNTIFS(Milestones!$C$11:$C$210,D27,Milestones!$B$11:$B$210,"&lt;&gt;",Milestones!$F$11:$F$210,"&lt;&gt;Cancelled")&gt;0)</x:formula>
    </x:cfRule>
    <x:cfRule type="expression" dxfId="709" priority="538">
      <x:formula>AND(D27&lt;&gt;"",D27&lt;Milestones!$F$5,COUNTIFS(Milestones!$C$11:$C$210,D27,Milestones!$B$11:$B$210,"&lt;&gt;",Milestones!$F$11:$F$210,"&lt;&gt;Cancelled",Milestones!$F$11:$F$210,"&lt;&gt;Complete")&gt;0)</x:formula>
    </x:cfRule>
  </x:conditionalFormatting>
  <x:conditionalFormatting sqref="E27:E27">
    <x:cfRule type="expression" dxfId="710" priority="539">
      <x:formula>AND(E27&lt;&gt;"",COUNTIFS(Milestones!$C$11:$C$210,E27,Milestones!$B$11:$B$210,"&lt;&gt;",Milestones!$F$11:$F$210,"&lt;&gt;Cancelled")&gt;0)</x:formula>
    </x:cfRule>
    <x:cfRule type="expression" dxfId="711" priority="540">
      <x:formula>AND(E27&lt;&gt;"",E27&lt;Milestones!$F$5,COUNTIFS(Milestones!$C$11:$C$210,E27,Milestones!$B$11:$B$210,"&lt;&gt;",Milestones!$F$11:$F$210,"&lt;&gt;Cancelled",Milestones!$F$11:$F$210,"&lt;&gt;Complete")&gt;0)</x:formula>
    </x:cfRule>
  </x:conditionalFormatting>
  <x:conditionalFormatting sqref="F27:F27">
    <x:cfRule type="expression" dxfId="712" priority="541">
      <x:formula>AND(F27&lt;&gt;"",COUNTIFS(Milestones!$C$11:$C$210,F27,Milestones!$B$11:$B$210,"&lt;&gt;",Milestones!$F$11:$F$210,"&lt;&gt;Cancelled")&gt;0)</x:formula>
    </x:cfRule>
    <x:cfRule type="expression" dxfId="713" priority="542">
      <x:formula>AND(F27&lt;&gt;"",F27&lt;Milestones!$F$5,COUNTIFS(Milestones!$C$11:$C$210,F27,Milestones!$B$11:$B$210,"&lt;&gt;",Milestones!$F$11:$F$210,"&lt;&gt;Cancelled",Milestones!$F$11:$F$210,"&lt;&gt;Complete")&gt;0)</x:formula>
    </x:cfRule>
  </x:conditionalFormatting>
  <x:conditionalFormatting sqref="G27:G27">
    <x:cfRule type="expression" dxfId="714" priority="543">
      <x:formula>AND(G27&lt;&gt;"",COUNTIFS(Milestones!$C$11:$C$210,G27,Milestones!$B$11:$B$210,"&lt;&gt;",Milestones!$F$11:$F$210,"&lt;&gt;Cancelled")&gt;0)</x:formula>
    </x:cfRule>
    <x:cfRule type="expression" dxfId="715" priority="544">
      <x:formula>AND(G27&lt;&gt;"",G27&lt;Milestones!$F$5,COUNTIFS(Milestones!$C$11:$C$210,G27,Milestones!$B$11:$B$210,"&lt;&gt;",Milestones!$F$11:$F$210,"&lt;&gt;Cancelled",Milestones!$F$11:$F$210,"&lt;&gt;Complete")&gt;0)</x:formula>
    </x:cfRule>
  </x:conditionalFormatting>
  <x:conditionalFormatting sqref="H27:H27">
    <x:cfRule type="expression" dxfId="716" priority="545">
      <x:formula>AND(H27&lt;&gt;"",COUNTIFS(Milestones!$C$11:$C$210,H27,Milestones!$B$11:$B$210,"&lt;&gt;",Milestones!$F$11:$F$210,"&lt;&gt;Cancelled")&gt;0)</x:formula>
    </x:cfRule>
    <x:cfRule type="expression" dxfId="717" priority="546">
      <x:formula>AND(H27&lt;&gt;"",H27&lt;Milestones!$F$5,COUNTIFS(Milestones!$C$11:$C$210,H27,Milestones!$B$11:$B$210,"&lt;&gt;",Milestones!$F$11:$F$210,"&lt;&gt;Cancelled",Milestones!$F$11:$F$210,"&lt;&gt;Complete")&gt;0)</x:formula>
    </x:cfRule>
  </x:conditionalFormatting>
  <x:conditionalFormatting sqref="B28:B28">
    <x:cfRule type="expression" dxfId="718" priority="547">
      <x:formula>AND(B28&lt;&gt;"",COUNTIFS(Milestones!$C$11:$C$210,B28,Milestones!$B$11:$B$210,"&lt;&gt;",Milestones!$F$11:$F$210,"&lt;&gt;Cancelled")&gt;0)</x:formula>
    </x:cfRule>
    <x:cfRule type="expression" dxfId="719" priority="548">
      <x:formula>AND(B28&lt;&gt;"",B28&lt;Milestones!$F$5,COUNTIFS(Milestones!$C$11:$C$210,B28,Milestones!$B$11:$B$210,"&lt;&gt;",Milestones!$F$11:$F$210,"&lt;&gt;Cancelled",Milestones!$F$11:$F$210,"&lt;&gt;Complete")&gt;0)</x:formula>
    </x:cfRule>
  </x:conditionalFormatting>
  <x:conditionalFormatting sqref="C28:C28">
    <x:cfRule type="expression" dxfId="720" priority="549">
      <x:formula>AND(C28&lt;&gt;"",COUNTIFS(Milestones!$C$11:$C$210,C28,Milestones!$B$11:$B$210,"&lt;&gt;",Milestones!$F$11:$F$210,"&lt;&gt;Cancelled")&gt;0)</x:formula>
    </x:cfRule>
    <x:cfRule type="expression" dxfId="721" priority="550">
      <x:formula>AND(C28&lt;&gt;"",C28&lt;Milestones!$F$5,COUNTIFS(Milestones!$C$11:$C$210,C28,Milestones!$B$11:$B$210,"&lt;&gt;",Milestones!$F$11:$F$210,"&lt;&gt;Cancelled",Milestones!$F$11:$F$210,"&lt;&gt;Complete")&gt;0)</x:formula>
    </x:cfRule>
  </x:conditionalFormatting>
  <x:conditionalFormatting sqref="D28:D28">
    <x:cfRule type="expression" dxfId="722" priority="551">
      <x:formula>AND(D28&lt;&gt;"",COUNTIFS(Milestones!$C$11:$C$210,D28,Milestones!$B$11:$B$210,"&lt;&gt;",Milestones!$F$11:$F$210,"&lt;&gt;Cancelled")&gt;0)</x:formula>
    </x:cfRule>
    <x:cfRule type="expression" dxfId="723" priority="552">
      <x:formula>AND(D28&lt;&gt;"",D28&lt;Milestones!$F$5,COUNTIFS(Milestones!$C$11:$C$210,D28,Milestones!$B$11:$B$210,"&lt;&gt;",Milestones!$F$11:$F$210,"&lt;&gt;Cancelled",Milestones!$F$11:$F$210,"&lt;&gt;Complete")&gt;0)</x:formula>
    </x:cfRule>
  </x:conditionalFormatting>
  <x:conditionalFormatting sqref="E28:E28">
    <x:cfRule type="expression" dxfId="724" priority="553">
      <x:formula>AND(E28&lt;&gt;"",COUNTIFS(Milestones!$C$11:$C$210,E28,Milestones!$B$11:$B$210,"&lt;&gt;",Milestones!$F$11:$F$210,"&lt;&gt;Cancelled")&gt;0)</x:formula>
    </x:cfRule>
    <x:cfRule type="expression" dxfId="725" priority="554">
      <x:formula>AND(E28&lt;&gt;"",E28&lt;Milestones!$F$5,COUNTIFS(Milestones!$C$11:$C$210,E28,Milestones!$B$11:$B$210,"&lt;&gt;",Milestones!$F$11:$F$210,"&lt;&gt;Cancelled",Milestones!$F$11:$F$210,"&lt;&gt;Complete")&gt;0)</x:formula>
    </x:cfRule>
  </x:conditionalFormatting>
  <x:conditionalFormatting sqref="F28:F28">
    <x:cfRule type="expression" dxfId="726" priority="555">
      <x:formula>AND(F28&lt;&gt;"",COUNTIFS(Milestones!$C$11:$C$210,F28,Milestones!$B$11:$B$210,"&lt;&gt;",Milestones!$F$11:$F$210,"&lt;&gt;Cancelled")&gt;0)</x:formula>
    </x:cfRule>
    <x:cfRule type="expression" dxfId="727" priority="556">
      <x:formula>AND(F28&lt;&gt;"",F28&lt;Milestones!$F$5,COUNTIFS(Milestones!$C$11:$C$210,F28,Milestones!$B$11:$B$210,"&lt;&gt;",Milestones!$F$11:$F$210,"&lt;&gt;Cancelled",Milestones!$F$11:$F$210,"&lt;&gt;Complete")&gt;0)</x:formula>
    </x:cfRule>
  </x:conditionalFormatting>
  <x:conditionalFormatting sqref="G28:G28">
    <x:cfRule type="expression" dxfId="728" priority="557">
      <x:formula>AND(G28&lt;&gt;"",COUNTIFS(Milestones!$C$11:$C$210,G28,Milestones!$B$11:$B$210,"&lt;&gt;",Milestones!$F$11:$F$210,"&lt;&gt;Cancelled")&gt;0)</x:formula>
    </x:cfRule>
    <x:cfRule type="expression" dxfId="729" priority="558">
      <x:formula>AND(G28&lt;&gt;"",G28&lt;Milestones!$F$5,COUNTIFS(Milestones!$C$11:$C$210,G28,Milestones!$B$11:$B$210,"&lt;&gt;",Milestones!$F$11:$F$210,"&lt;&gt;Cancelled",Milestones!$F$11:$F$210,"&lt;&gt;Complete")&gt;0)</x:formula>
    </x:cfRule>
  </x:conditionalFormatting>
  <x:conditionalFormatting sqref="H28:H28">
    <x:cfRule type="expression" dxfId="730" priority="559">
      <x:formula>AND(H28&lt;&gt;"",COUNTIFS(Milestones!$C$11:$C$210,H28,Milestones!$B$11:$B$210,"&lt;&gt;",Milestones!$F$11:$F$210,"&lt;&gt;Cancelled")&gt;0)</x:formula>
    </x:cfRule>
    <x:cfRule type="expression" dxfId="731" priority="560">
      <x:formula>AND(H28&lt;&gt;"",H28&lt;Milestones!$F$5,COUNTIFS(Milestones!$C$11:$C$210,H28,Milestones!$B$11:$B$210,"&lt;&gt;",Milestones!$F$11:$F$210,"&lt;&gt;Cancelled",Milestones!$F$11:$F$210,"&lt;&gt;Complete")&gt;0)</x:formula>
    </x:cfRule>
  </x:conditionalFormatting>
  <x:conditionalFormatting sqref="B29:B29">
    <x:cfRule type="expression" dxfId="732" priority="561">
      <x:formula>AND(B29&lt;&gt;"",COUNTIFS(Milestones!$C$11:$C$210,B29,Milestones!$B$11:$B$210,"&lt;&gt;",Milestones!$F$11:$F$210,"&lt;&gt;Cancelled")&gt;0)</x:formula>
    </x:cfRule>
    <x:cfRule type="expression" dxfId="733" priority="562">
      <x:formula>AND(B29&lt;&gt;"",B29&lt;Milestones!$F$5,COUNTIFS(Milestones!$C$11:$C$210,B29,Milestones!$B$11:$B$210,"&lt;&gt;",Milestones!$F$11:$F$210,"&lt;&gt;Cancelled",Milestones!$F$11:$F$210,"&lt;&gt;Complete")&gt;0)</x:formula>
    </x:cfRule>
  </x:conditionalFormatting>
  <x:conditionalFormatting sqref="C29:C29">
    <x:cfRule type="expression" dxfId="734" priority="563">
      <x:formula>AND(C29&lt;&gt;"",COUNTIFS(Milestones!$C$11:$C$210,C29,Milestones!$B$11:$B$210,"&lt;&gt;",Milestones!$F$11:$F$210,"&lt;&gt;Cancelled")&gt;0)</x:formula>
    </x:cfRule>
    <x:cfRule type="expression" dxfId="735" priority="564">
      <x:formula>AND(C29&lt;&gt;"",C29&lt;Milestones!$F$5,COUNTIFS(Milestones!$C$11:$C$210,C29,Milestones!$B$11:$B$210,"&lt;&gt;",Milestones!$F$11:$F$210,"&lt;&gt;Cancelled",Milestones!$F$11:$F$210,"&lt;&gt;Complete")&gt;0)</x:formula>
    </x:cfRule>
  </x:conditionalFormatting>
  <x:conditionalFormatting sqref="D29:D29">
    <x:cfRule type="expression" dxfId="736" priority="565">
      <x:formula>AND(D29&lt;&gt;"",COUNTIFS(Milestones!$C$11:$C$210,D29,Milestones!$B$11:$B$210,"&lt;&gt;",Milestones!$F$11:$F$210,"&lt;&gt;Cancelled")&gt;0)</x:formula>
    </x:cfRule>
    <x:cfRule type="expression" dxfId="737" priority="566">
      <x:formula>AND(D29&lt;&gt;"",D29&lt;Milestones!$F$5,COUNTIFS(Milestones!$C$11:$C$210,D29,Milestones!$B$11:$B$210,"&lt;&gt;",Milestones!$F$11:$F$210,"&lt;&gt;Cancelled",Milestones!$F$11:$F$210,"&lt;&gt;Complete")&gt;0)</x:formula>
    </x:cfRule>
  </x:conditionalFormatting>
  <x:conditionalFormatting sqref="E29:E29">
    <x:cfRule type="expression" dxfId="738" priority="567">
      <x:formula>AND(E29&lt;&gt;"",COUNTIFS(Milestones!$C$11:$C$210,E29,Milestones!$B$11:$B$210,"&lt;&gt;",Milestones!$F$11:$F$210,"&lt;&gt;Cancelled")&gt;0)</x:formula>
    </x:cfRule>
    <x:cfRule type="expression" dxfId="739" priority="568">
      <x:formula>AND(E29&lt;&gt;"",E29&lt;Milestones!$F$5,COUNTIFS(Milestones!$C$11:$C$210,E29,Milestones!$B$11:$B$210,"&lt;&gt;",Milestones!$F$11:$F$210,"&lt;&gt;Cancelled",Milestones!$F$11:$F$210,"&lt;&gt;Complete")&gt;0)</x:formula>
    </x:cfRule>
  </x:conditionalFormatting>
  <x:conditionalFormatting sqref="F29:F29">
    <x:cfRule type="expression" dxfId="740" priority="569">
      <x:formula>AND(F29&lt;&gt;"",COUNTIFS(Milestones!$C$11:$C$210,F29,Milestones!$B$11:$B$210,"&lt;&gt;",Milestones!$F$11:$F$210,"&lt;&gt;Cancelled")&gt;0)</x:formula>
    </x:cfRule>
    <x:cfRule type="expression" dxfId="741" priority="570">
      <x:formula>AND(F29&lt;&gt;"",F29&lt;Milestones!$F$5,COUNTIFS(Milestones!$C$11:$C$210,F29,Milestones!$B$11:$B$210,"&lt;&gt;",Milestones!$F$11:$F$210,"&lt;&gt;Cancelled",Milestones!$F$11:$F$210,"&lt;&gt;Complete")&gt;0)</x:formula>
    </x:cfRule>
  </x:conditionalFormatting>
  <x:conditionalFormatting sqref="G29:G29">
    <x:cfRule type="expression" dxfId="742" priority="571">
      <x:formula>AND(G29&lt;&gt;"",COUNTIFS(Milestones!$C$11:$C$210,G29,Milestones!$B$11:$B$210,"&lt;&gt;",Milestones!$F$11:$F$210,"&lt;&gt;Cancelled")&gt;0)</x:formula>
    </x:cfRule>
    <x:cfRule type="expression" dxfId="743" priority="572">
      <x:formula>AND(G29&lt;&gt;"",G29&lt;Milestones!$F$5,COUNTIFS(Milestones!$C$11:$C$210,G29,Milestones!$B$11:$B$210,"&lt;&gt;",Milestones!$F$11:$F$210,"&lt;&gt;Cancelled",Milestones!$F$11:$F$210,"&lt;&gt;Complete")&gt;0)</x:formula>
    </x:cfRule>
  </x:conditionalFormatting>
  <x:conditionalFormatting sqref="H29:H29">
    <x:cfRule type="expression" dxfId="744" priority="573">
      <x:formula>AND(H29&lt;&gt;"",COUNTIFS(Milestones!$C$11:$C$210,H29,Milestones!$B$11:$B$210,"&lt;&gt;",Milestones!$F$11:$F$210,"&lt;&gt;Cancelled")&gt;0)</x:formula>
    </x:cfRule>
    <x:cfRule type="expression" dxfId="745" priority="574">
      <x:formula>AND(H29&lt;&gt;"",H29&lt;Milestones!$F$5,COUNTIFS(Milestones!$C$11:$C$210,H29,Milestones!$B$11:$B$210,"&lt;&gt;",Milestones!$F$11:$F$210,"&lt;&gt;Cancelled",Milestones!$F$11:$F$210,"&lt;&gt;Complete")&gt;0)</x:formula>
    </x:cfRule>
  </x:conditionalFormatting>
  <x:conditionalFormatting sqref="B30:B30">
    <x:cfRule type="expression" dxfId="746" priority="575">
      <x:formula>AND(B30&lt;&gt;"",COUNTIFS(Milestones!$C$11:$C$210,B30,Milestones!$B$11:$B$210,"&lt;&gt;",Milestones!$F$11:$F$210,"&lt;&gt;Cancelled")&gt;0)</x:formula>
    </x:cfRule>
    <x:cfRule type="expression" dxfId="747" priority="576">
      <x:formula>AND(B30&lt;&gt;"",B30&lt;Milestones!$F$5,COUNTIFS(Milestones!$C$11:$C$210,B30,Milestones!$B$11:$B$210,"&lt;&gt;",Milestones!$F$11:$F$210,"&lt;&gt;Cancelled",Milestones!$F$11:$F$210,"&lt;&gt;Complete")&gt;0)</x:formula>
    </x:cfRule>
  </x:conditionalFormatting>
  <x:conditionalFormatting sqref="C30:C30">
    <x:cfRule type="expression" dxfId="748" priority="577">
      <x:formula>AND(C30&lt;&gt;"",COUNTIFS(Milestones!$C$11:$C$210,C30,Milestones!$B$11:$B$210,"&lt;&gt;",Milestones!$F$11:$F$210,"&lt;&gt;Cancelled")&gt;0)</x:formula>
    </x:cfRule>
    <x:cfRule type="expression" dxfId="749" priority="578">
      <x:formula>AND(C30&lt;&gt;"",C30&lt;Milestones!$F$5,COUNTIFS(Milestones!$C$11:$C$210,C30,Milestones!$B$11:$B$210,"&lt;&gt;",Milestones!$F$11:$F$210,"&lt;&gt;Cancelled",Milestones!$F$11:$F$210,"&lt;&gt;Complete")&gt;0)</x:formula>
    </x:cfRule>
  </x:conditionalFormatting>
  <x:conditionalFormatting sqref="D30:D30">
    <x:cfRule type="expression" dxfId="750" priority="579">
      <x:formula>AND(D30&lt;&gt;"",COUNTIFS(Milestones!$C$11:$C$210,D30,Milestones!$B$11:$B$210,"&lt;&gt;",Milestones!$F$11:$F$210,"&lt;&gt;Cancelled")&gt;0)</x:formula>
    </x:cfRule>
    <x:cfRule type="expression" dxfId="751" priority="580">
      <x:formula>AND(D30&lt;&gt;"",D30&lt;Milestones!$F$5,COUNTIFS(Milestones!$C$11:$C$210,D30,Milestones!$B$11:$B$210,"&lt;&gt;",Milestones!$F$11:$F$210,"&lt;&gt;Cancelled",Milestones!$F$11:$F$210,"&lt;&gt;Complete")&gt;0)</x:formula>
    </x:cfRule>
  </x:conditionalFormatting>
  <x:conditionalFormatting sqref="E30:E30">
    <x:cfRule type="expression" dxfId="752" priority="581">
      <x:formula>AND(E30&lt;&gt;"",COUNTIFS(Milestones!$C$11:$C$210,E30,Milestones!$B$11:$B$210,"&lt;&gt;",Milestones!$F$11:$F$210,"&lt;&gt;Cancelled")&gt;0)</x:formula>
    </x:cfRule>
    <x:cfRule type="expression" dxfId="753" priority="582">
      <x:formula>AND(E30&lt;&gt;"",E30&lt;Milestones!$F$5,COUNTIFS(Milestones!$C$11:$C$210,E30,Milestones!$B$11:$B$210,"&lt;&gt;",Milestones!$F$11:$F$210,"&lt;&gt;Cancelled",Milestones!$F$11:$F$210,"&lt;&gt;Complete")&gt;0)</x:formula>
    </x:cfRule>
  </x:conditionalFormatting>
  <x:conditionalFormatting sqref="F30:F30">
    <x:cfRule type="expression" dxfId="754" priority="583">
      <x:formula>AND(F30&lt;&gt;"",COUNTIFS(Milestones!$C$11:$C$210,F30,Milestones!$B$11:$B$210,"&lt;&gt;",Milestones!$F$11:$F$210,"&lt;&gt;Cancelled")&gt;0)</x:formula>
    </x:cfRule>
    <x:cfRule type="expression" dxfId="755" priority="584">
      <x:formula>AND(F30&lt;&gt;"",F30&lt;Milestones!$F$5,COUNTIFS(Milestones!$C$11:$C$210,F30,Milestones!$B$11:$B$210,"&lt;&gt;",Milestones!$F$11:$F$210,"&lt;&gt;Cancelled",Milestones!$F$11:$F$210,"&lt;&gt;Complete")&gt;0)</x:formula>
    </x:cfRule>
  </x:conditionalFormatting>
  <x:conditionalFormatting sqref="G30:G30">
    <x:cfRule type="expression" dxfId="756" priority="585">
      <x:formula>AND(G30&lt;&gt;"",COUNTIFS(Milestones!$C$11:$C$210,G30,Milestones!$B$11:$B$210,"&lt;&gt;",Milestones!$F$11:$F$210,"&lt;&gt;Cancelled")&gt;0)</x:formula>
    </x:cfRule>
    <x:cfRule type="expression" dxfId="757" priority="586">
      <x:formula>AND(G30&lt;&gt;"",G30&lt;Milestones!$F$5,COUNTIFS(Milestones!$C$11:$C$210,G30,Milestones!$B$11:$B$210,"&lt;&gt;",Milestones!$F$11:$F$210,"&lt;&gt;Cancelled",Milestones!$F$11:$F$210,"&lt;&gt;Complete")&gt;0)</x:formula>
    </x:cfRule>
  </x:conditionalFormatting>
  <x:conditionalFormatting sqref="H30:H30">
    <x:cfRule type="expression" dxfId="758" priority="587">
      <x:formula>AND(H30&lt;&gt;"",COUNTIFS(Milestones!$C$11:$C$210,H30,Milestones!$B$11:$B$210,"&lt;&gt;",Milestones!$F$11:$F$210,"&lt;&gt;Cancelled")&gt;0)</x:formula>
    </x:cfRule>
    <x:cfRule type="expression" dxfId="759" priority="588">
      <x:formula>AND(H30&lt;&gt;"",H30&lt;Milestones!$F$5,COUNTIFS(Milestones!$C$11:$C$210,H30,Milestones!$B$11:$B$210,"&lt;&gt;",Milestones!$F$11:$F$210,"&lt;&gt;Cancelled",Milestones!$F$11:$F$210,"&lt;&gt;Complete")&gt;0)</x:formula>
    </x:cfRule>
  </x:conditionalFormatting>
  <x:conditionalFormatting sqref="J25:J25">
    <x:cfRule type="expression" dxfId="760" priority="589">
      <x:formula>AND(J25&lt;&gt;"",COUNTIFS(Milestones!$C$11:$C$210,J25,Milestones!$B$11:$B$210,"&lt;&gt;",Milestones!$F$11:$F$210,"&lt;&gt;Cancelled")&gt;0)</x:formula>
    </x:cfRule>
    <x:cfRule type="expression" dxfId="761" priority="590">
      <x:formula>AND(J25&lt;&gt;"",J25&lt;Milestones!$F$5,COUNTIFS(Milestones!$C$11:$C$210,J25,Milestones!$B$11:$B$210,"&lt;&gt;",Milestones!$F$11:$F$210,"&lt;&gt;Cancelled",Milestones!$F$11:$F$210,"&lt;&gt;Complete")&gt;0)</x:formula>
    </x:cfRule>
  </x:conditionalFormatting>
  <x:conditionalFormatting sqref="K25:K25">
    <x:cfRule type="expression" dxfId="762" priority="591">
      <x:formula>AND(K25&lt;&gt;"",COUNTIFS(Milestones!$C$11:$C$210,K25,Milestones!$B$11:$B$210,"&lt;&gt;",Milestones!$F$11:$F$210,"&lt;&gt;Cancelled")&gt;0)</x:formula>
    </x:cfRule>
    <x:cfRule type="expression" dxfId="763" priority="592">
      <x:formula>AND(K25&lt;&gt;"",K25&lt;Milestones!$F$5,COUNTIFS(Milestones!$C$11:$C$210,K25,Milestones!$B$11:$B$210,"&lt;&gt;",Milestones!$F$11:$F$210,"&lt;&gt;Cancelled",Milestones!$F$11:$F$210,"&lt;&gt;Complete")&gt;0)</x:formula>
    </x:cfRule>
  </x:conditionalFormatting>
  <x:conditionalFormatting sqref="L25:L25">
    <x:cfRule type="expression" dxfId="764" priority="593">
      <x:formula>AND(L25&lt;&gt;"",COUNTIFS(Milestones!$C$11:$C$210,L25,Milestones!$B$11:$B$210,"&lt;&gt;",Milestones!$F$11:$F$210,"&lt;&gt;Cancelled")&gt;0)</x:formula>
    </x:cfRule>
    <x:cfRule type="expression" dxfId="765" priority="594">
      <x:formula>AND(L25&lt;&gt;"",L25&lt;Milestones!$F$5,COUNTIFS(Milestones!$C$11:$C$210,L25,Milestones!$B$11:$B$210,"&lt;&gt;",Milestones!$F$11:$F$210,"&lt;&gt;Cancelled",Milestones!$F$11:$F$210,"&lt;&gt;Complete")&gt;0)</x:formula>
    </x:cfRule>
  </x:conditionalFormatting>
  <x:conditionalFormatting sqref="M25:M25">
    <x:cfRule type="expression" dxfId="766" priority="595">
      <x:formula>AND(M25&lt;&gt;"",COUNTIFS(Milestones!$C$11:$C$210,M25,Milestones!$B$11:$B$210,"&lt;&gt;",Milestones!$F$11:$F$210,"&lt;&gt;Cancelled")&gt;0)</x:formula>
    </x:cfRule>
    <x:cfRule type="expression" dxfId="767" priority="596">
      <x:formula>AND(M25&lt;&gt;"",M25&lt;Milestones!$F$5,COUNTIFS(Milestones!$C$11:$C$210,M25,Milestones!$B$11:$B$210,"&lt;&gt;",Milestones!$F$11:$F$210,"&lt;&gt;Cancelled",Milestones!$F$11:$F$210,"&lt;&gt;Complete")&gt;0)</x:formula>
    </x:cfRule>
  </x:conditionalFormatting>
  <x:conditionalFormatting sqref="N25:N25">
    <x:cfRule type="expression" dxfId="768" priority="597">
      <x:formula>AND(N25&lt;&gt;"",COUNTIFS(Milestones!$C$11:$C$210,N25,Milestones!$B$11:$B$210,"&lt;&gt;",Milestones!$F$11:$F$210,"&lt;&gt;Cancelled")&gt;0)</x:formula>
    </x:cfRule>
    <x:cfRule type="expression" dxfId="769" priority="598">
      <x:formula>AND(N25&lt;&gt;"",N25&lt;Milestones!$F$5,COUNTIFS(Milestones!$C$11:$C$210,N25,Milestones!$B$11:$B$210,"&lt;&gt;",Milestones!$F$11:$F$210,"&lt;&gt;Cancelled",Milestones!$F$11:$F$210,"&lt;&gt;Complete")&gt;0)</x:formula>
    </x:cfRule>
  </x:conditionalFormatting>
  <x:conditionalFormatting sqref="O25:O25">
    <x:cfRule type="expression" dxfId="770" priority="599">
      <x:formula>AND(O25&lt;&gt;"",COUNTIFS(Milestones!$C$11:$C$210,O25,Milestones!$B$11:$B$210,"&lt;&gt;",Milestones!$F$11:$F$210,"&lt;&gt;Cancelled")&gt;0)</x:formula>
    </x:cfRule>
    <x:cfRule type="expression" dxfId="771" priority="600">
      <x:formula>AND(O25&lt;&gt;"",O25&lt;Milestones!$F$5,COUNTIFS(Milestones!$C$11:$C$210,O25,Milestones!$B$11:$B$210,"&lt;&gt;",Milestones!$F$11:$F$210,"&lt;&gt;Cancelled",Milestones!$F$11:$F$210,"&lt;&gt;Complete")&gt;0)</x:formula>
    </x:cfRule>
  </x:conditionalFormatting>
  <x:conditionalFormatting sqref="P25:P25">
    <x:cfRule type="expression" dxfId="772" priority="601">
      <x:formula>AND(P25&lt;&gt;"",COUNTIFS(Milestones!$C$11:$C$210,P25,Milestones!$B$11:$B$210,"&lt;&gt;",Milestones!$F$11:$F$210,"&lt;&gt;Cancelled")&gt;0)</x:formula>
    </x:cfRule>
    <x:cfRule type="expression" dxfId="773" priority="602">
      <x:formula>AND(P25&lt;&gt;"",P25&lt;Milestones!$F$5,COUNTIFS(Milestones!$C$11:$C$210,P25,Milestones!$B$11:$B$210,"&lt;&gt;",Milestones!$F$11:$F$210,"&lt;&gt;Cancelled",Milestones!$F$11:$F$210,"&lt;&gt;Complete")&gt;0)</x:formula>
    </x:cfRule>
  </x:conditionalFormatting>
  <x:conditionalFormatting sqref="J26:J26">
    <x:cfRule type="expression" dxfId="774" priority="603">
      <x:formula>AND(J26&lt;&gt;"",COUNTIFS(Milestones!$C$11:$C$210,J26,Milestones!$B$11:$B$210,"&lt;&gt;",Milestones!$F$11:$F$210,"&lt;&gt;Cancelled")&gt;0)</x:formula>
    </x:cfRule>
    <x:cfRule type="expression" dxfId="775" priority="604">
      <x:formula>AND(J26&lt;&gt;"",J26&lt;Milestones!$F$5,COUNTIFS(Milestones!$C$11:$C$210,J26,Milestones!$B$11:$B$210,"&lt;&gt;",Milestones!$F$11:$F$210,"&lt;&gt;Cancelled",Milestones!$F$11:$F$210,"&lt;&gt;Complete")&gt;0)</x:formula>
    </x:cfRule>
  </x:conditionalFormatting>
  <x:conditionalFormatting sqref="K26:K26">
    <x:cfRule type="expression" dxfId="776" priority="605">
      <x:formula>AND(K26&lt;&gt;"",COUNTIFS(Milestones!$C$11:$C$210,K26,Milestones!$B$11:$B$210,"&lt;&gt;",Milestones!$F$11:$F$210,"&lt;&gt;Cancelled")&gt;0)</x:formula>
    </x:cfRule>
    <x:cfRule type="expression" dxfId="777" priority="606">
      <x:formula>AND(K26&lt;&gt;"",K26&lt;Milestones!$F$5,COUNTIFS(Milestones!$C$11:$C$210,K26,Milestones!$B$11:$B$210,"&lt;&gt;",Milestones!$F$11:$F$210,"&lt;&gt;Cancelled",Milestones!$F$11:$F$210,"&lt;&gt;Complete")&gt;0)</x:formula>
    </x:cfRule>
  </x:conditionalFormatting>
  <x:conditionalFormatting sqref="L26:L26">
    <x:cfRule type="expression" dxfId="778" priority="607">
      <x:formula>AND(L26&lt;&gt;"",COUNTIFS(Milestones!$C$11:$C$210,L26,Milestones!$B$11:$B$210,"&lt;&gt;",Milestones!$F$11:$F$210,"&lt;&gt;Cancelled")&gt;0)</x:formula>
    </x:cfRule>
    <x:cfRule type="expression" dxfId="779" priority="608">
      <x:formula>AND(L26&lt;&gt;"",L26&lt;Milestones!$F$5,COUNTIFS(Milestones!$C$11:$C$210,L26,Milestones!$B$11:$B$210,"&lt;&gt;",Milestones!$F$11:$F$210,"&lt;&gt;Cancelled",Milestones!$F$11:$F$210,"&lt;&gt;Complete")&gt;0)</x:formula>
    </x:cfRule>
  </x:conditionalFormatting>
  <x:conditionalFormatting sqref="M26:M26">
    <x:cfRule type="expression" dxfId="780" priority="609">
      <x:formula>AND(M26&lt;&gt;"",COUNTIFS(Milestones!$C$11:$C$210,M26,Milestones!$B$11:$B$210,"&lt;&gt;",Milestones!$F$11:$F$210,"&lt;&gt;Cancelled")&gt;0)</x:formula>
    </x:cfRule>
    <x:cfRule type="expression" dxfId="781" priority="610">
      <x:formula>AND(M26&lt;&gt;"",M26&lt;Milestones!$F$5,COUNTIFS(Milestones!$C$11:$C$210,M26,Milestones!$B$11:$B$210,"&lt;&gt;",Milestones!$F$11:$F$210,"&lt;&gt;Cancelled",Milestones!$F$11:$F$210,"&lt;&gt;Complete")&gt;0)</x:formula>
    </x:cfRule>
  </x:conditionalFormatting>
  <x:conditionalFormatting sqref="N26:N26">
    <x:cfRule type="expression" dxfId="782" priority="611">
      <x:formula>AND(N26&lt;&gt;"",COUNTIFS(Milestones!$C$11:$C$210,N26,Milestones!$B$11:$B$210,"&lt;&gt;",Milestones!$F$11:$F$210,"&lt;&gt;Cancelled")&gt;0)</x:formula>
    </x:cfRule>
    <x:cfRule type="expression" dxfId="783" priority="612">
      <x:formula>AND(N26&lt;&gt;"",N26&lt;Milestones!$F$5,COUNTIFS(Milestones!$C$11:$C$210,N26,Milestones!$B$11:$B$210,"&lt;&gt;",Milestones!$F$11:$F$210,"&lt;&gt;Cancelled",Milestones!$F$11:$F$210,"&lt;&gt;Complete")&gt;0)</x:formula>
    </x:cfRule>
  </x:conditionalFormatting>
  <x:conditionalFormatting sqref="O26:O26">
    <x:cfRule type="expression" dxfId="784" priority="613">
      <x:formula>AND(O26&lt;&gt;"",COUNTIFS(Milestones!$C$11:$C$210,O26,Milestones!$B$11:$B$210,"&lt;&gt;",Milestones!$F$11:$F$210,"&lt;&gt;Cancelled")&gt;0)</x:formula>
    </x:cfRule>
    <x:cfRule type="expression" dxfId="785" priority="614">
      <x:formula>AND(O26&lt;&gt;"",O26&lt;Milestones!$F$5,COUNTIFS(Milestones!$C$11:$C$210,O26,Milestones!$B$11:$B$210,"&lt;&gt;",Milestones!$F$11:$F$210,"&lt;&gt;Cancelled",Milestones!$F$11:$F$210,"&lt;&gt;Complete")&gt;0)</x:formula>
    </x:cfRule>
  </x:conditionalFormatting>
  <x:conditionalFormatting sqref="P26:P26">
    <x:cfRule type="expression" dxfId="786" priority="615">
      <x:formula>AND(P26&lt;&gt;"",COUNTIFS(Milestones!$C$11:$C$210,P26,Milestones!$B$11:$B$210,"&lt;&gt;",Milestones!$F$11:$F$210,"&lt;&gt;Cancelled")&gt;0)</x:formula>
    </x:cfRule>
    <x:cfRule type="expression" dxfId="787" priority="616">
      <x:formula>AND(P26&lt;&gt;"",P26&lt;Milestones!$F$5,COUNTIFS(Milestones!$C$11:$C$210,P26,Milestones!$B$11:$B$210,"&lt;&gt;",Milestones!$F$11:$F$210,"&lt;&gt;Cancelled",Milestones!$F$11:$F$210,"&lt;&gt;Complete")&gt;0)</x:formula>
    </x:cfRule>
  </x:conditionalFormatting>
  <x:conditionalFormatting sqref="J27:J27">
    <x:cfRule type="expression" dxfId="788" priority="617">
      <x:formula>AND(J27&lt;&gt;"",COUNTIFS(Milestones!$C$11:$C$210,J27,Milestones!$B$11:$B$210,"&lt;&gt;",Milestones!$F$11:$F$210,"&lt;&gt;Cancelled")&gt;0)</x:formula>
    </x:cfRule>
    <x:cfRule type="expression" dxfId="789" priority="618">
      <x:formula>AND(J27&lt;&gt;"",J27&lt;Milestones!$F$5,COUNTIFS(Milestones!$C$11:$C$210,J27,Milestones!$B$11:$B$210,"&lt;&gt;",Milestones!$F$11:$F$210,"&lt;&gt;Cancelled",Milestones!$F$11:$F$210,"&lt;&gt;Complete")&gt;0)</x:formula>
    </x:cfRule>
  </x:conditionalFormatting>
  <x:conditionalFormatting sqref="K27:K27">
    <x:cfRule type="expression" dxfId="790" priority="619">
      <x:formula>AND(K27&lt;&gt;"",COUNTIFS(Milestones!$C$11:$C$210,K27,Milestones!$B$11:$B$210,"&lt;&gt;",Milestones!$F$11:$F$210,"&lt;&gt;Cancelled")&gt;0)</x:formula>
    </x:cfRule>
    <x:cfRule type="expression" dxfId="791" priority="620">
      <x:formula>AND(K27&lt;&gt;"",K27&lt;Milestones!$F$5,COUNTIFS(Milestones!$C$11:$C$210,K27,Milestones!$B$11:$B$210,"&lt;&gt;",Milestones!$F$11:$F$210,"&lt;&gt;Cancelled",Milestones!$F$11:$F$210,"&lt;&gt;Complete")&gt;0)</x:formula>
    </x:cfRule>
  </x:conditionalFormatting>
  <x:conditionalFormatting sqref="L27:L27">
    <x:cfRule type="expression" dxfId="792" priority="621">
      <x:formula>AND(L27&lt;&gt;"",COUNTIFS(Milestones!$C$11:$C$210,L27,Milestones!$B$11:$B$210,"&lt;&gt;",Milestones!$F$11:$F$210,"&lt;&gt;Cancelled")&gt;0)</x:formula>
    </x:cfRule>
    <x:cfRule type="expression" dxfId="793" priority="622">
      <x:formula>AND(L27&lt;&gt;"",L27&lt;Milestones!$F$5,COUNTIFS(Milestones!$C$11:$C$210,L27,Milestones!$B$11:$B$210,"&lt;&gt;",Milestones!$F$11:$F$210,"&lt;&gt;Cancelled",Milestones!$F$11:$F$210,"&lt;&gt;Complete")&gt;0)</x:formula>
    </x:cfRule>
  </x:conditionalFormatting>
  <x:conditionalFormatting sqref="M27:M27">
    <x:cfRule type="expression" dxfId="794" priority="623">
      <x:formula>AND(M27&lt;&gt;"",COUNTIFS(Milestones!$C$11:$C$210,M27,Milestones!$B$11:$B$210,"&lt;&gt;",Milestones!$F$11:$F$210,"&lt;&gt;Cancelled")&gt;0)</x:formula>
    </x:cfRule>
    <x:cfRule type="expression" dxfId="795" priority="624">
      <x:formula>AND(M27&lt;&gt;"",M27&lt;Milestones!$F$5,COUNTIFS(Milestones!$C$11:$C$210,M27,Milestones!$B$11:$B$210,"&lt;&gt;",Milestones!$F$11:$F$210,"&lt;&gt;Cancelled",Milestones!$F$11:$F$210,"&lt;&gt;Complete")&gt;0)</x:formula>
    </x:cfRule>
  </x:conditionalFormatting>
  <x:conditionalFormatting sqref="N27:N27">
    <x:cfRule type="expression" dxfId="796" priority="625">
      <x:formula>AND(N27&lt;&gt;"",COUNTIFS(Milestones!$C$11:$C$210,N27,Milestones!$B$11:$B$210,"&lt;&gt;",Milestones!$F$11:$F$210,"&lt;&gt;Cancelled")&gt;0)</x:formula>
    </x:cfRule>
    <x:cfRule type="expression" dxfId="797" priority="626">
      <x:formula>AND(N27&lt;&gt;"",N27&lt;Milestones!$F$5,COUNTIFS(Milestones!$C$11:$C$210,N27,Milestones!$B$11:$B$210,"&lt;&gt;",Milestones!$F$11:$F$210,"&lt;&gt;Cancelled",Milestones!$F$11:$F$210,"&lt;&gt;Complete")&gt;0)</x:formula>
    </x:cfRule>
  </x:conditionalFormatting>
  <x:conditionalFormatting sqref="O27:O27">
    <x:cfRule type="expression" dxfId="798" priority="627">
      <x:formula>AND(O27&lt;&gt;"",COUNTIFS(Milestones!$C$11:$C$210,O27,Milestones!$B$11:$B$210,"&lt;&gt;",Milestones!$F$11:$F$210,"&lt;&gt;Cancelled")&gt;0)</x:formula>
    </x:cfRule>
    <x:cfRule type="expression" dxfId="799" priority="628">
      <x:formula>AND(O27&lt;&gt;"",O27&lt;Milestones!$F$5,COUNTIFS(Milestones!$C$11:$C$210,O27,Milestones!$B$11:$B$210,"&lt;&gt;",Milestones!$F$11:$F$210,"&lt;&gt;Cancelled",Milestones!$F$11:$F$210,"&lt;&gt;Complete")&gt;0)</x:formula>
    </x:cfRule>
  </x:conditionalFormatting>
  <x:conditionalFormatting sqref="P27:P27">
    <x:cfRule type="expression" dxfId="800" priority="629">
      <x:formula>AND(P27&lt;&gt;"",COUNTIFS(Milestones!$C$11:$C$210,P27,Milestones!$B$11:$B$210,"&lt;&gt;",Milestones!$F$11:$F$210,"&lt;&gt;Cancelled")&gt;0)</x:formula>
    </x:cfRule>
    <x:cfRule type="expression" dxfId="801" priority="630">
      <x:formula>AND(P27&lt;&gt;"",P27&lt;Milestones!$F$5,COUNTIFS(Milestones!$C$11:$C$210,P27,Milestones!$B$11:$B$210,"&lt;&gt;",Milestones!$F$11:$F$210,"&lt;&gt;Cancelled",Milestones!$F$11:$F$210,"&lt;&gt;Complete")&gt;0)</x:formula>
    </x:cfRule>
  </x:conditionalFormatting>
  <x:conditionalFormatting sqref="J28:J28">
    <x:cfRule type="expression" dxfId="802" priority="631">
      <x:formula>AND(J28&lt;&gt;"",COUNTIFS(Milestones!$C$11:$C$210,J28,Milestones!$B$11:$B$210,"&lt;&gt;",Milestones!$F$11:$F$210,"&lt;&gt;Cancelled")&gt;0)</x:formula>
    </x:cfRule>
    <x:cfRule type="expression" dxfId="803" priority="632">
      <x:formula>AND(J28&lt;&gt;"",J28&lt;Milestones!$F$5,COUNTIFS(Milestones!$C$11:$C$210,J28,Milestones!$B$11:$B$210,"&lt;&gt;",Milestones!$F$11:$F$210,"&lt;&gt;Cancelled",Milestones!$F$11:$F$210,"&lt;&gt;Complete")&gt;0)</x:formula>
    </x:cfRule>
  </x:conditionalFormatting>
  <x:conditionalFormatting sqref="K28:K28">
    <x:cfRule type="expression" dxfId="804" priority="633">
      <x:formula>AND(K28&lt;&gt;"",COUNTIFS(Milestones!$C$11:$C$210,K28,Milestones!$B$11:$B$210,"&lt;&gt;",Milestones!$F$11:$F$210,"&lt;&gt;Cancelled")&gt;0)</x:formula>
    </x:cfRule>
    <x:cfRule type="expression" dxfId="805" priority="634">
      <x:formula>AND(K28&lt;&gt;"",K28&lt;Milestones!$F$5,COUNTIFS(Milestones!$C$11:$C$210,K28,Milestones!$B$11:$B$210,"&lt;&gt;",Milestones!$F$11:$F$210,"&lt;&gt;Cancelled",Milestones!$F$11:$F$210,"&lt;&gt;Complete")&gt;0)</x:formula>
    </x:cfRule>
  </x:conditionalFormatting>
  <x:conditionalFormatting sqref="L28:L28">
    <x:cfRule type="expression" dxfId="806" priority="635">
      <x:formula>AND(L28&lt;&gt;"",COUNTIFS(Milestones!$C$11:$C$210,L28,Milestones!$B$11:$B$210,"&lt;&gt;",Milestones!$F$11:$F$210,"&lt;&gt;Cancelled")&gt;0)</x:formula>
    </x:cfRule>
    <x:cfRule type="expression" dxfId="807" priority="636">
      <x:formula>AND(L28&lt;&gt;"",L28&lt;Milestones!$F$5,COUNTIFS(Milestones!$C$11:$C$210,L28,Milestones!$B$11:$B$210,"&lt;&gt;",Milestones!$F$11:$F$210,"&lt;&gt;Cancelled",Milestones!$F$11:$F$210,"&lt;&gt;Complete")&gt;0)</x:formula>
    </x:cfRule>
  </x:conditionalFormatting>
  <x:conditionalFormatting sqref="M28:M28">
    <x:cfRule type="expression" dxfId="808" priority="637">
      <x:formula>AND(M28&lt;&gt;"",COUNTIFS(Milestones!$C$11:$C$210,M28,Milestones!$B$11:$B$210,"&lt;&gt;",Milestones!$F$11:$F$210,"&lt;&gt;Cancelled")&gt;0)</x:formula>
    </x:cfRule>
    <x:cfRule type="expression" dxfId="809" priority="638">
      <x:formula>AND(M28&lt;&gt;"",M28&lt;Milestones!$F$5,COUNTIFS(Milestones!$C$11:$C$210,M28,Milestones!$B$11:$B$210,"&lt;&gt;",Milestones!$F$11:$F$210,"&lt;&gt;Cancelled",Milestones!$F$11:$F$210,"&lt;&gt;Complete")&gt;0)</x:formula>
    </x:cfRule>
  </x:conditionalFormatting>
  <x:conditionalFormatting sqref="N28:N28">
    <x:cfRule type="expression" dxfId="810" priority="639">
      <x:formula>AND(N28&lt;&gt;"",COUNTIFS(Milestones!$C$11:$C$210,N28,Milestones!$B$11:$B$210,"&lt;&gt;",Milestones!$F$11:$F$210,"&lt;&gt;Cancelled")&gt;0)</x:formula>
    </x:cfRule>
    <x:cfRule type="expression" dxfId="811" priority="640">
      <x:formula>AND(N28&lt;&gt;"",N28&lt;Milestones!$F$5,COUNTIFS(Milestones!$C$11:$C$210,N28,Milestones!$B$11:$B$210,"&lt;&gt;",Milestones!$F$11:$F$210,"&lt;&gt;Cancelled",Milestones!$F$11:$F$210,"&lt;&gt;Complete")&gt;0)</x:formula>
    </x:cfRule>
  </x:conditionalFormatting>
  <x:conditionalFormatting sqref="O28:O28">
    <x:cfRule type="expression" dxfId="812" priority="641">
      <x:formula>AND(O28&lt;&gt;"",COUNTIFS(Milestones!$C$11:$C$210,O28,Milestones!$B$11:$B$210,"&lt;&gt;",Milestones!$F$11:$F$210,"&lt;&gt;Cancelled")&gt;0)</x:formula>
    </x:cfRule>
    <x:cfRule type="expression" dxfId="813" priority="642">
      <x:formula>AND(O28&lt;&gt;"",O28&lt;Milestones!$F$5,COUNTIFS(Milestones!$C$11:$C$210,O28,Milestones!$B$11:$B$210,"&lt;&gt;",Milestones!$F$11:$F$210,"&lt;&gt;Cancelled",Milestones!$F$11:$F$210,"&lt;&gt;Complete")&gt;0)</x:formula>
    </x:cfRule>
  </x:conditionalFormatting>
  <x:conditionalFormatting sqref="P28:P28">
    <x:cfRule type="expression" dxfId="814" priority="643">
      <x:formula>AND(P28&lt;&gt;"",COUNTIFS(Milestones!$C$11:$C$210,P28,Milestones!$B$11:$B$210,"&lt;&gt;",Milestones!$F$11:$F$210,"&lt;&gt;Cancelled")&gt;0)</x:formula>
    </x:cfRule>
    <x:cfRule type="expression" dxfId="815" priority="644">
      <x:formula>AND(P28&lt;&gt;"",P28&lt;Milestones!$F$5,COUNTIFS(Milestones!$C$11:$C$210,P28,Milestones!$B$11:$B$210,"&lt;&gt;",Milestones!$F$11:$F$210,"&lt;&gt;Cancelled",Milestones!$F$11:$F$210,"&lt;&gt;Complete")&gt;0)</x:formula>
    </x:cfRule>
  </x:conditionalFormatting>
  <x:conditionalFormatting sqref="J29:J29">
    <x:cfRule type="expression" dxfId="816" priority="645">
      <x:formula>AND(J29&lt;&gt;"",COUNTIFS(Milestones!$C$11:$C$210,J29,Milestones!$B$11:$B$210,"&lt;&gt;",Milestones!$F$11:$F$210,"&lt;&gt;Cancelled")&gt;0)</x:formula>
    </x:cfRule>
    <x:cfRule type="expression" dxfId="817" priority="646">
      <x:formula>AND(J29&lt;&gt;"",J29&lt;Milestones!$F$5,COUNTIFS(Milestones!$C$11:$C$210,J29,Milestones!$B$11:$B$210,"&lt;&gt;",Milestones!$F$11:$F$210,"&lt;&gt;Cancelled",Milestones!$F$11:$F$210,"&lt;&gt;Complete")&gt;0)</x:formula>
    </x:cfRule>
  </x:conditionalFormatting>
  <x:conditionalFormatting sqref="K29:K29">
    <x:cfRule type="expression" dxfId="818" priority="647">
      <x:formula>AND(K29&lt;&gt;"",COUNTIFS(Milestones!$C$11:$C$210,K29,Milestones!$B$11:$B$210,"&lt;&gt;",Milestones!$F$11:$F$210,"&lt;&gt;Cancelled")&gt;0)</x:formula>
    </x:cfRule>
    <x:cfRule type="expression" dxfId="819" priority="648">
      <x:formula>AND(K29&lt;&gt;"",K29&lt;Milestones!$F$5,COUNTIFS(Milestones!$C$11:$C$210,K29,Milestones!$B$11:$B$210,"&lt;&gt;",Milestones!$F$11:$F$210,"&lt;&gt;Cancelled",Milestones!$F$11:$F$210,"&lt;&gt;Complete")&gt;0)</x:formula>
    </x:cfRule>
  </x:conditionalFormatting>
  <x:conditionalFormatting sqref="L29:L29">
    <x:cfRule type="expression" dxfId="820" priority="649">
      <x:formula>AND(L29&lt;&gt;"",COUNTIFS(Milestones!$C$11:$C$210,L29,Milestones!$B$11:$B$210,"&lt;&gt;",Milestones!$F$11:$F$210,"&lt;&gt;Cancelled")&gt;0)</x:formula>
    </x:cfRule>
    <x:cfRule type="expression" dxfId="821" priority="650">
      <x:formula>AND(L29&lt;&gt;"",L29&lt;Milestones!$F$5,COUNTIFS(Milestones!$C$11:$C$210,L29,Milestones!$B$11:$B$210,"&lt;&gt;",Milestones!$F$11:$F$210,"&lt;&gt;Cancelled",Milestones!$F$11:$F$210,"&lt;&gt;Complete")&gt;0)</x:formula>
    </x:cfRule>
  </x:conditionalFormatting>
  <x:conditionalFormatting sqref="M29:M29">
    <x:cfRule type="expression" dxfId="822" priority="651">
      <x:formula>AND(M29&lt;&gt;"",COUNTIFS(Milestones!$C$11:$C$210,M29,Milestones!$B$11:$B$210,"&lt;&gt;",Milestones!$F$11:$F$210,"&lt;&gt;Cancelled")&gt;0)</x:formula>
    </x:cfRule>
    <x:cfRule type="expression" dxfId="823" priority="652">
      <x:formula>AND(M29&lt;&gt;"",M29&lt;Milestones!$F$5,COUNTIFS(Milestones!$C$11:$C$210,M29,Milestones!$B$11:$B$210,"&lt;&gt;",Milestones!$F$11:$F$210,"&lt;&gt;Cancelled",Milestones!$F$11:$F$210,"&lt;&gt;Complete")&gt;0)</x:formula>
    </x:cfRule>
  </x:conditionalFormatting>
  <x:conditionalFormatting sqref="N29:N29">
    <x:cfRule type="expression" dxfId="824" priority="653">
      <x:formula>AND(N29&lt;&gt;"",COUNTIFS(Milestones!$C$11:$C$210,N29,Milestones!$B$11:$B$210,"&lt;&gt;",Milestones!$F$11:$F$210,"&lt;&gt;Cancelled")&gt;0)</x:formula>
    </x:cfRule>
    <x:cfRule type="expression" dxfId="825" priority="654">
      <x:formula>AND(N29&lt;&gt;"",N29&lt;Milestones!$F$5,COUNTIFS(Milestones!$C$11:$C$210,N29,Milestones!$B$11:$B$210,"&lt;&gt;",Milestones!$F$11:$F$210,"&lt;&gt;Cancelled",Milestones!$F$11:$F$210,"&lt;&gt;Complete")&gt;0)</x:formula>
    </x:cfRule>
  </x:conditionalFormatting>
  <x:conditionalFormatting sqref="O29:O29">
    <x:cfRule type="expression" dxfId="826" priority="655">
      <x:formula>AND(O29&lt;&gt;"",COUNTIFS(Milestones!$C$11:$C$210,O29,Milestones!$B$11:$B$210,"&lt;&gt;",Milestones!$F$11:$F$210,"&lt;&gt;Cancelled")&gt;0)</x:formula>
    </x:cfRule>
    <x:cfRule type="expression" dxfId="827" priority="656">
      <x:formula>AND(O29&lt;&gt;"",O29&lt;Milestones!$F$5,COUNTIFS(Milestones!$C$11:$C$210,O29,Milestones!$B$11:$B$210,"&lt;&gt;",Milestones!$F$11:$F$210,"&lt;&gt;Cancelled",Milestones!$F$11:$F$210,"&lt;&gt;Complete")&gt;0)</x:formula>
    </x:cfRule>
  </x:conditionalFormatting>
  <x:conditionalFormatting sqref="P29:P29">
    <x:cfRule type="expression" dxfId="828" priority="657">
      <x:formula>AND(P29&lt;&gt;"",COUNTIFS(Milestones!$C$11:$C$210,P29,Milestones!$B$11:$B$210,"&lt;&gt;",Milestones!$F$11:$F$210,"&lt;&gt;Cancelled")&gt;0)</x:formula>
    </x:cfRule>
    <x:cfRule type="expression" dxfId="829" priority="658">
      <x:formula>AND(P29&lt;&gt;"",P29&lt;Milestones!$F$5,COUNTIFS(Milestones!$C$11:$C$210,P29,Milestones!$B$11:$B$210,"&lt;&gt;",Milestones!$F$11:$F$210,"&lt;&gt;Cancelled",Milestones!$F$11:$F$210,"&lt;&gt;Complete")&gt;0)</x:formula>
    </x:cfRule>
  </x:conditionalFormatting>
  <x:conditionalFormatting sqref="J30:J30">
    <x:cfRule type="expression" dxfId="830" priority="659">
      <x:formula>AND(J30&lt;&gt;"",COUNTIFS(Milestones!$C$11:$C$210,J30,Milestones!$B$11:$B$210,"&lt;&gt;",Milestones!$F$11:$F$210,"&lt;&gt;Cancelled")&gt;0)</x:formula>
    </x:cfRule>
    <x:cfRule type="expression" dxfId="831" priority="660">
      <x:formula>AND(J30&lt;&gt;"",J30&lt;Milestones!$F$5,COUNTIFS(Milestones!$C$11:$C$210,J30,Milestones!$B$11:$B$210,"&lt;&gt;",Milestones!$F$11:$F$210,"&lt;&gt;Cancelled",Milestones!$F$11:$F$210,"&lt;&gt;Complete")&gt;0)</x:formula>
    </x:cfRule>
  </x:conditionalFormatting>
  <x:conditionalFormatting sqref="K30:K30">
    <x:cfRule type="expression" dxfId="832" priority="661">
      <x:formula>AND(K30&lt;&gt;"",COUNTIFS(Milestones!$C$11:$C$210,K30,Milestones!$B$11:$B$210,"&lt;&gt;",Milestones!$F$11:$F$210,"&lt;&gt;Cancelled")&gt;0)</x:formula>
    </x:cfRule>
    <x:cfRule type="expression" dxfId="833" priority="662">
      <x:formula>AND(K30&lt;&gt;"",K30&lt;Milestones!$F$5,COUNTIFS(Milestones!$C$11:$C$210,K30,Milestones!$B$11:$B$210,"&lt;&gt;",Milestones!$F$11:$F$210,"&lt;&gt;Cancelled",Milestones!$F$11:$F$210,"&lt;&gt;Complete")&gt;0)</x:formula>
    </x:cfRule>
  </x:conditionalFormatting>
  <x:conditionalFormatting sqref="L30:L30">
    <x:cfRule type="expression" dxfId="834" priority="663">
      <x:formula>AND(L30&lt;&gt;"",COUNTIFS(Milestones!$C$11:$C$210,L30,Milestones!$B$11:$B$210,"&lt;&gt;",Milestones!$F$11:$F$210,"&lt;&gt;Cancelled")&gt;0)</x:formula>
    </x:cfRule>
    <x:cfRule type="expression" dxfId="835" priority="664">
      <x:formula>AND(L30&lt;&gt;"",L30&lt;Milestones!$F$5,COUNTIFS(Milestones!$C$11:$C$210,L30,Milestones!$B$11:$B$210,"&lt;&gt;",Milestones!$F$11:$F$210,"&lt;&gt;Cancelled",Milestones!$F$11:$F$210,"&lt;&gt;Complete")&gt;0)</x:formula>
    </x:cfRule>
  </x:conditionalFormatting>
  <x:conditionalFormatting sqref="M30:M30">
    <x:cfRule type="expression" dxfId="836" priority="665">
      <x:formula>AND(M30&lt;&gt;"",COUNTIFS(Milestones!$C$11:$C$210,M30,Milestones!$B$11:$B$210,"&lt;&gt;",Milestones!$F$11:$F$210,"&lt;&gt;Cancelled")&gt;0)</x:formula>
    </x:cfRule>
    <x:cfRule type="expression" dxfId="837" priority="666">
      <x:formula>AND(M30&lt;&gt;"",M30&lt;Milestones!$F$5,COUNTIFS(Milestones!$C$11:$C$210,M30,Milestones!$B$11:$B$210,"&lt;&gt;",Milestones!$F$11:$F$210,"&lt;&gt;Cancelled",Milestones!$F$11:$F$210,"&lt;&gt;Complete")&gt;0)</x:formula>
    </x:cfRule>
  </x:conditionalFormatting>
  <x:conditionalFormatting sqref="N30:N30">
    <x:cfRule type="expression" dxfId="838" priority="667">
      <x:formula>AND(N30&lt;&gt;"",COUNTIFS(Milestones!$C$11:$C$210,N30,Milestones!$B$11:$B$210,"&lt;&gt;",Milestones!$F$11:$F$210,"&lt;&gt;Cancelled")&gt;0)</x:formula>
    </x:cfRule>
    <x:cfRule type="expression" dxfId="839" priority="668">
      <x:formula>AND(N30&lt;&gt;"",N30&lt;Milestones!$F$5,COUNTIFS(Milestones!$C$11:$C$210,N30,Milestones!$B$11:$B$210,"&lt;&gt;",Milestones!$F$11:$F$210,"&lt;&gt;Cancelled",Milestones!$F$11:$F$210,"&lt;&gt;Complete")&gt;0)</x:formula>
    </x:cfRule>
  </x:conditionalFormatting>
  <x:conditionalFormatting sqref="O30:O30">
    <x:cfRule type="expression" dxfId="840" priority="669">
      <x:formula>AND(O30&lt;&gt;"",COUNTIFS(Milestones!$C$11:$C$210,O30,Milestones!$B$11:$B$210,"&lt;&gt;",Milestones!$F$11:$F$210,"&lt;&gt;Cancelled")&gt;0)</x:formula>
    </x:cfRule>
    <x:cfRule type="expression" dxfId="841" priority="670">
      <x:formula>AND(O30&lt;&gt;"",O30&lt;Milestones!$F$5,COUNTIFS(Milestones!$C$11:$C$210,O30,Milestones!$B$11:$B$210,"&lt;&gt;",Milestones!$F$11:$F$210,"&lt;&gt;Cancelled",Milestones!$F$11:$F$210,"&lt;&gt;Complete")&gt;0)</x:formula>
    </x:cfRule>
  </x:conditionalFormatting>
  <x:conditionalFormatting sqref="P30:P30">
    <x:cfRule type="expression" dxfId="842" priority="671">
      <x:formula>AND(P30&lt;&gt;"",COUNTIFS(Milestones!$C$11:$C$210,P30,Milestones!$B$11:$B$210,"&lt;&gt;",Milestones!$F$11:$F$210,"&lt;&gt;Cancelled")&gt;0)</x:formula>
    </x:cfRule>
    <x:cfRule type="expression" dxfId="843" priority="672">
      <x:formula>AND(P30&lt;&gt;"",P30&lt;Milestones!$F$5,COUNTIFS(Milestones!$C$11:$C$210,P30,Milestones!$B$11:$B$210,"&lt;&gt;",Milestones!$F$11:$F$210,"&lt;&gt;Cancelled",Milestones!$F$11:$F$210,"&lt;&gt;Complete")&gt;0)</x:formula>
    </x:cfRule>
  </x:conditionalFormatting>
  <x:conditionalFormatting sqref="R25:R25">
    <x:cfRule type="expression" dxfId="844" priority="673">
      <x:formula>AND(R25&lt;&gt;"",COUNTIFS(Milestones!$C$11:$C$210,R25,Milestones!$B$11:$B$210,"&lt;&gt;",Milestones!$F$11:$F$210,"&lt;&gt;Cancelled")&gt;0)</x:formula>
    </x:cfRule>
    <x:cfRule type="expression" dxfId="845" priority="674">
      <x:formula>AND(R25&lt;&gt;"",R25&lt;Milestones!$F$5,COUNTIFS(Milestones!$C$11:$C$210,R25,Milestones!$B$11:$B$210,"&lt;&gt;",Milestones!$F$11:$F$210,"&lt;&gt;Cancelled",Milestones!$F$11:$F$210,"&lt;&gt;Complete")&gt;0)</x:formula>
    </x:cfRule>
  </x:conditionalFormatting>
  <x:conditionalFormatting sqref="S25:S25">
    <x:cfRule type="expression" dxfId="846" priority="675">
      <x:formula>AND(S25&lt;&gt;"",COUNTIFS(Milestones!$C$11:$C$210,S25,Milestones!$B$11:$B$210,"&lt;&gt;",Milestones!$F$11:$F$210,"&lt;&gt;Cancelled")&gt;0)</x:formula>
    </x:cfRule>
    <x:cfRule type="expression" dxfId="847" priority="676">
      <x:formula>AND(S25&lt;&gt;"",S25&lt;Milestones!$F$5,COUNTIFS(Milestones!$C$11:$C$210,S25,Milestones!$B$11:$B$210,"&lt;&gt;",Milestones!$F$11:$F$210,"&lt;&gt;Cancelled",Milestones!$F$11:$F$210,"&lt;&gt;Complete")&gt;0)</x:formula>
    </x:cfRule>
  </x:conditionalFormatting>
  <x:conditionalFormatting sqref="T25:T25">
    <x:cfRule type="expression" dxfId="848" priority="677">
      <x:formula>AND(T25&lt;&gt;"",COUNTIFS(Milestones!$C$11:$C$210,T25,Milestones!$B$11:$B$210,"&lt;&gt;",Milestones!$F$11:$F$210,"&lt;&gt;Cancelled")&gt;0)</x:formula>
    </x:cfRule>
    <x:cfRule type="expression" dxfId="849" priority="678">
      <x:formula>AND(T25&lt;&gt;"",T25&lt;Milestones!$F$5,COUNTIFS(Milestones!$C$11:$C$210,T25,Milestones!$B$11:$B$210,"&lt;&gt;",Milestones!$F$11:$F$210,"&lt;&gt;Cancelled",Milestones!$F$11:$F$210,"&lt;&gt;Complete")&gt;0)</x:formula>
    </x:cfRule>
  </x:conditionalFormatting>
  <x:conditionalFormatting sqref="U25:U25">
    <x:cfRule type="expression" dxfId="850" priority="679">
      <x:formula>AND(U25&lt;&gt;"",COUNTIFS(Milestones!$C$11:$C$210,U25,Milestones!$B$11:$B$210,"&lt;&gt;",Milestones!$F$11:$F$210,"&lt;&gt;Cancelled")&gt;0)</x:formula>
    </x:cfRule>
    <x:cfRule type="expression" dxfId="851" priority="680">
      <x:formula>AND(U25&lt;&gt;"",U25&lt;Milestones!$F$5,COUNTIFS(Milestones!$C$11:$C$210,U25,Milestones!$B$11:$B$210,"&lt;&gt;",Milestones!$F$11:$F$210,"&lt;&gt;Cancelled",Milestones!$F$11:$F$210,"&lt;&gt;Complete")&gt;0)</x:formula>
    </x:cfRule>
  </x:conditionalFormatting>
  <x:conditionalFormatting sqref="V25:V25">
    <x:cfRule type="expression" dxfId="852" priority="681">
      <x:formula>AND(V25&lt;&gt;"",COUNTIFS(Milestones!$C$11:$C$210,V25,Milestones!$B$11:$B$210,"&lt;&gt;",Milestones!$F$11:$F$210,"&lt;&gt;Cancelled")&gt;0)</x:formula>
    </x:cfRule>
    <x:cfRule type="expression" dxfId="853" priority="682">
      <x:formula>AND(V25&lt;&gt;"",V25&lt;Milestones!$F$5,COUNTIFS(Milestones!$C$11:$C$210,V25,Milestones!$B$11:$B$210,"&lt;&gt;",Milestones!$F$11:$F$210,"&lt;&gt;Cancelled",Milestones!$F$11:$F$210,"&lt;&gt;Complete")&gt;0)</x:formula>
    </x:cfRule>
  </x:conditionalFormatting>
  <x:conditionalFormatting sqref="W25:W25">
    <x:cfRule type="expression" dxfId="854" priority="683">
      <x:formula>AND(W25&lt;&gt;"",COUNTIFS(Milestones!$C$11:$C$210,W25,Milestones!$B$11:$B$210,"&lt;&gt;",Milestones!$F$11:$F$210,"&lt;&gt;Cancelled")&gt;0)</x:formula>
    </x:cfRule>
    <x:cfRule type="expression" dxfId="855" priority="684">
      <x:formula>AND(W25&lt;&gt;"",W25&lt;Milestones!$F$5,COUNTIFS(Milestones!$C$11:$C$210,W25,Milestones!$B$11:$B$210,"&lt;&gt;",Milestones!$F$11:$F$210,"&lt;&gt;Cancelled",Milestones!$F$11:$F$210,"&lt;&gt;Complete")&gt;0)</x:formula>
    </x:cfRule>
  </x:conditionalFormatting>
  <x:conditionalFormatting sqref="X25:X25">
    <x:cfRule type="expression" dxfId="856" priority="685">
      <x:formula>AND(X25&lt;&gt;"",COUNTIFS(Milestones!$C$11:$C$210,X25,Milestones!$B$11:$B$210,"&lt;&gt;",Milestones!$F$11:$F$210,"&lt;&gt;Cancelled")&gt;0)</x:formula>
    </x:cfRule>
    <x:cfRule type="expression" dxfId="857" priority="686">
      <x:formula>AND(X25&lt;&gt;"",X25&lt;Milestones!$F$5,COUNTIFS(Milestones!$C$11:$C$210,X25,Milestones!$B$11:$B$210,"&lt;&gt;",Milestones!$F$11:$F$210,"&lt;&gt;Cancelled",Milestones!$F$11:$F$210,"&lt;&gt;Complete")&gt;0)</x:formula>
    </x:cfRule>
  </x:conditionalFormatting>
  <x:conditionalFormatting sqref="R26:R26">
    <x:cfRule type="expression" dxfId="858" priority="687">
      <x:formula>AND(R26&lt;&gt;"",COUNTIFS(Milestones!$C$11:$C$210,R26,Milestones!$B$11:$B$210,"&lt;&gt;",Milestones!$F$11:$F$210,"&lt;&gt;Cancelled")&gt;0)</x:formula>
    </x:cfRule>
    <x:cfRule type="expression" dxfId="859" priority="688">
      <x:formula>AND(R26&lt;&gt;"",R26&lt;Milestones!$F$5,COUNTIFS(Milestones!$C$11:$C$210,R26,Milestones!$B$11:$B$210,"&lt;&gt;",Milestones!$F$11:$F$210,"&lt;&gt;Cancelled",Milestones!$F$11:$F$210,"&lt;&gt;Complete")&gt;0)</x:formula>
    </x:cfRule>
  </x:conditionalFormatting>
  <x:conditionalFormatting sqref="S26:S26">
    <x:cfRule type="expression" dxfId="860" priority="689">
      <x:formula>AND(S26&lt;&gt;"",COUNTIFS(Milestones!$C$11:$C$210,S26,Milestones!$B$11:$B$210,"&lt;&gt;",Milestones!$F$11:$F$210,"&lt;&gt;Cancelled")&gt;0)</x:formula>
    </x:cfRule>
    <x:cfRule type="expression" dxfId="861" priority="690">
      <x:formula>AND(S26&lt;&gt;"",S26&lt;Milestones!$F$5,COUNTIFS(Milestones!$C$11:$C$210,S26,Milestones!$B$11:$B$210,"&lt;&gt;",Milestones!$F$11:$F$210,"&lt;&gt;Cancelled",Milestones!$F$11:$F$210,"&lt;&gt;Complete")&gt;0)</x:formula>
    </x:cfRule>
  </x:conditionalFormatting>
  <x:conditionalFormatting sqref="T26:T26">
    <x:cfRule type="expression" dxfId="862" priority="691">
      <x:formula>AND(T26&lt;&gt;"",COUNTIFS(Milestones!$C$11:$C$210,T26,Milestones!$B$11:$B$210,"&lt;&gt;",Milestones!$F$11:$F$210,"&lt;&gt;Cancelled")&gt;0)</x:formula>
    </x:cfRule>
    <x:cfRule type="expression" dxfId="863" priority="692">
      <x:formula>AND(T26&lt;&gt;"",T26&lt;Milestones!$F$5,COUNTIFS(Milestones!$C$11:$C$210,T26,Milestones!$B$11:$B$210,"&lt;&gt;",Milestones!$F$11:$F$210,"&lt;&gt;Cancelled",Milestones!$F$11:$F$210,"&lt;&gt;Complete")&gt;0)</x:formula>
    </x:cfRule>
  </x:conditionalFormatting>
  <x:conditionalFormatting sqref="U26:U26">
    <x:cfRule type="expression" dxfId="864" priority="693">
      <x:formula>AND(U26&lt;&gt;"",COUNTIFS(Milestones!$C$11:$C$210,U26,Milestones!$B$11:$B$210,"&lt;&gt;",Milestones!$F$11:$F$210,"&lt;&gt;Cancelled")&gt;0)</x:formula>
    </x:cfRule>
    <x:cfRule type="expression" dxfId="865" priority="694">
      <x:formula>AND(U26&lt;&gt;"",U26&lt;Milestones!$F$5,COUNTIFS(Milestones!$C$11:$C$210,U26,Milestones!$B$11:$B$210,"&lt;&gt;",Milestones!$F$11:$F$210,"&lt;&gt;Cancelled",Milestones!$F$11:$F$210,"&lt;&gt;Complete")&gt;0)</x:formula>
    </x:cfRule>
  </x:conditionalFormatting>
  <x:conditionalFormatting sqref="V26:V26">
    <x:cfRule type="expression" dxfId="866" priority="695">
      <x:formula>AND(V26&lt;&gt;"",COUNTIFS(Milestones!$C$11:$C$210,V26,Milestones!$B$11:$B$210,"&lt;&gt;",Milestones!$F$11:$F$210,"&lt;&gt;Cancelled")&gt;0)</x:formula>
    </x:cfRule>
    <x:cfRule type="expression" dxfId="867" priority="696">
      <x:formula>AND(V26&lt;&gt;"",V26&lt;Milestones!$F$5,COUNTIFS(Milestones!$C$11:$C$210,V26,Milestones!$B$11:$B$210,"&lt;&gt;",Milestones!$F$11:$F$210,"&lt;&gt;Cancelled",Milestones!$F$11:$F$210,"&lt;&gt;Complete")&gt;0)</x:formula>
    </x:cfRule>
  </x:conditionalFormatting>
  <x:conditionalFormatting sqref="W26:W26">
    <x:cfRule type="expression" dxfId="868" priority="697">
      <x:formula>AND(W26&lt;&gt;"",COUNTIFS(Milestones!$C$11:$C$210,W26,Milestones!$B$11:$B$210,"&lt;&gt;",Milestones!$F$11:$F$210,"&lt;&gt;Cancelled")&gt;0)</x:formula>
    </x:cfRule>
    <x:cfRule type="expression" dxfId="869" priority="698">
      <x:formula>AND(W26&lt;&gt;"",W26&lt;Milestones!$F$5,COUNTIFS(Milestones!$C$11:$C$210,W26,Milestones!$B$11:$B$210,"&lt;&gt;",Milestones!$F$11:$F$210,"&lt;&gt;Cancelled",Milestones!$F$11:$F$210,"&lt;&gt;Complete")&gt;0)</x:formula>
    </x:cfRule>
  </x:conditionalFormatting>
  <x:conditionalFormatting sqref="X26:X26">
    <x:cfRule type="expression" dxfId="870" priority="699">
      <x:formula>AND(X26&lt;&gt;"",COUNTIFS(Milestones!$C$11:$C$210,X26,Milestones!$B$11:$B$210,"&lt;&gt;",Milestones!$F$11:$F$210,"&lt;&gt;Cancelled")&gt;0)</x:formula>
    </x:cfRule>
    <x:cfRule type="expression" dxfId="871" priority="700">
      <x:formula>AND(X26&lt;&gt;"",X26&lt;Milestones!$F$5,COUNTIFS(Milestones!$C$11:$C$210,X26,Milestones!$B$11:$B$210,"&lt;&gt;",Milestones!$F$11:$F$210,"&lt;&gt;Cancelled",Milestones!$F$11:$F$210,"&lt;&gt;Complete")&gt;0)</x:formula>
    </x:cfRule>
  </x:conditionalFormatting>
  <x:conditionalFormatting sqref="R27:R27">
    <x:cfRule type="expression" dxfId="872" priority="701">
      <x:formula>AND(R27&lt;&gt;"",COUNTIFS(Milestones!$C$11:$C$210,R27,Milestones!$B$11:$B$210,"&lt;&gt;",Milestones!$F$11:$F$210,"&lt;&gt;Cancelled")&gt;0)</x:formula>
    </x:cfRule>
    <x:cfRule type="expression" dxfId="873" priority="702">
      <x:formula>AND(R27&lt;&gt;"",R27&lt;Milestones!$F$5,COUNTIFS(Milestones!$C$11:$C$210,R27,Milestones!$B$11:$B$210,"&lt;&gt;",Milestones!$F$11:$F$210,"&lt;&gt;Cancelled",Milestones!$F$11:$F$210,"&lt;&gt;Complete")&gt;0)</x:formula>
    </x:cfRule>
  </x:conditionalFormatting>
  <x:conditionalFormatting sqref="S27:S27">
    <x:cfRule type="expression" dxfId="874" priority="703">
      <x:formula>AND(S27&lt;&gt;"",COUNTIFS(Milestones!$C$11:$C$210,S27,Milestones!$B$11:$B$210,"&lt;&gt;",Milestones!$F$11:$F$210,"&lt;&gt;Cancelled")&gt;0)</x:formula>
    </x:cfRule>
    <x:cfRule type="expression" dxfId="875" priority="704">
      <x:formula>AND(S27&lt;&gt;"",S27&lt;Milestones!$F$5,COUNTIFS(Milestones!$C$11:$C$210,S27,Milestones!$B$11:$B$210,"&lt;&gt;",Milestones!$F$11:$F$210,"&lt;&gt;Cancelled",Milestones!$F$11:$F$210,"&lt;&gt;Complete")&gt;0)</x:formula>
    </x:cfRule>
  </x:conditionalFormatting>
  <x:conditionalFormatting sqref="T27:T27">
    <x:cfRule type="expression" dxfId="876" priority="705">
      <x:formula>AND(T27&lt;&gt;"",COUNTIFS(Milestones!$C$11:$C$210,T27,Milestones!$B$11:$B$210,"&lt;&gt;",Milestones!$F$11:$F$210,"&lt;&gt;Cancelled")&gt;0)</x:formula>
    </x:cfRule>
    <x:cfRule type="expression" dxfId="877" priority="706">
      <x:formula>AND(T27&lt;&gt;"",T27&lt;Milestones!$F$5,COUNTIFS(Milestones!$C$11:$C$210,T27,Milestones!$B$11:$B$210,"&lt;&gt;",Milestones!$F$11:$F$210,"&lt;&gt;Cancelled",Milestones!$F$11:$F$210,"&lt;&gt;Complete")&gt;0)</x:formula>
    </x:cfRule>
  </x:conditionalFormatting>
  <x:conditionalFormatting sqref="U27:U27">
    <x:cfRule type="expression" dxfId="878" priority="707">
      <x:formula>AND(U27&lt;&gt;"",COUNTIFS(Milestones!$C$11:$C$210,U27,Milestones!$B$11:$B$210,"&lt;&gt;",Milestones!$F$11:$F$210,"&lt;&gt;Cancelled")&gt;0)</x:formula>
    </x:cfRule>
    <x:cfRule type="expression" dxfId="879" priority="708">
      <x:formula>AND(U27&lt;&gt;"",U27&lt;Milestones!$F$5,COUNTIFS(Milestones!$C$11:$C$210,U27,Milestones!$B$11:$B$210,"&lt;&gt;",Milestones!$F$11:$F$210,"&lt;&gt;Cancelled",Milestones!$F$11:$F$210,"&lt;&gt;Complete")&gt;0)</x:formula>
    </x:cfRule>
  </x:conditionalFormatting>
  <x:conditionalFormatting sqref="V27:V27">
    <x:cfRule type="expression" dxfId="880" priority="709">
      <x:formula>AND(V27&lt;&gt;"",COUNTIFS(Milestones!$C$11:$C$210,V27,Milestones!$B$11:$B$210,"&lt;&gt;",Milestones!$F$11:$F$210,"&lt;&gt;Cancelled")&gt;0)</x:formula>
    </x:cfRule>
    <x:cfRule type="expression" dxfId="881" priority="710">
      <x:formula>AND(V27&lt;&gt;"",V27&lt;Milestones!$F$5,COUNTIFS(Milestones!$C$11:$C$210,V27,Milestones!$B$11:$B$210,"&lt;&gt;",Milestones!$F$11:$F$210,"&lt;&gt;Cancelled",Milestones!$F$11:$F$210,"&lt;&gt;Complete")&gt;0)</x:formula>
    </x:cfRule>
  </x:conditionalFormatting>
  <x:conditionalFormatting sqref="W27:W27">
    <x:cfRule type="expression" dxfId="882" priority="711">
      <x:formula>AND(W27&lt;&gt;"",COUNTIFS(Milestones!$C$11:$C$210,W27,Milestones!$B$11:$B$210,"&lt;&gt;",Milestones!$F$11:$F$210,"&lt;&gt;Cancelled")&gt;0)</x:formula>
    </x:cfRule>
    <x:cfRule type="expression" dxfId="883" priority="712">
      <x:formula>AND(W27&lt;&gt;"",W27&lt;Milestones!$F$5,COUNTIFS(Milestones!$C$11:$C$210,W27,Milestones!$B$11:$B$210,"&lt;&gt;",Milestones!$F$11:$F$210,"&lt;&gt;Cancelled",Milestones!$F$11:$F$210,"&lt;&gt;Complete")&gt;0)</x:formula>
    </x:cfRule>
  </x:conditionalFormatting>
  <x:conditionalFormatting sqref="X27:X27">
    <x:cfRule type="expression" dxfId="884" priority="713">
      <x:formula>AND(X27&lt;&gt;"",COUNTIFS(Milestones!$C$11:$C$210,X27,Milestones!$B$11:$B$210,"&lt;&gt;",Milestones!$F$11:$F$210,"&lt;&gt;Cancelled")&gt;0)</x:formula>
    </x:cfRule>
    <x:cfRule type="expression" dxfId="885" priority="714">
      <x:formula>AND(X27&lt;&gt;"",X27&lt;Milestones!$F$5,COUNTIFS(Milestones!$C$11:$C$210,X27,Milestones!$B$11:$B$210,"&lt;&gt;",Milestones!$F$11:$F$210,"&lt;&gt;Cancelled",Milestones!$F$11:$F$210,"&lt;&gt;Complete")&gt;0)</x:formula>
    </x:cfRule>
  </x:conditionalFormatting>
  <x:conditionalFormatting sqref="R28:R28">
    <x:cfRule type="expression" dxfId="886" priority="715">
      <x:formula>AND(R28&lt;&gt;"",COUNTIFS(Milestones!$C$11:$C$210,R28,Milestones!$B$11:$B$210,"&lt;&gt;",Milestones!$F$11:$F$210,"&lt;&gt;Cancelled")&gt;0)</x:formula>
    </x:cfRule>
    <x:cfRule type="expression" dxfId="887" priority="716">
      <x:formula>AND(R28&lt;&gt;"",R28&lt;Milestones!$F$5,COUNTIFS(Milestones!$C$11:$C$210,R28,Milestones!$B$11:$B$210,"&lt;&gt;",Milestones!$F$11:$F$210,"&lt;&gt;Cancelled",Milestones!$F$11:$F$210,"&lt;&gt;Complete")&gt;0)</x:formula>
    </x:cfRule>
  </x:conditionalFormatting>
  <x:conditionalFormatting sqref="S28:S28">
    <x:cfRule type="expression" dxfId="888" priority="717">
      <x:formula>AND(S28&lt;&gt;"",COUNTIFS(Milestones!$C$11:$C$210,S28,Milestones!$B$11:$B$210,"&lt;&gt;",Milestones!$F$11:$F$210,"&lt;&gt;Cancelled")&gt;0)</x:formula>
    </x:cfRule>
    <x:cfRule type="expression" dxfId="889" priority="718">
      <x:formula>AND(S28&lt;&gt;"",S28&lt;Milestones!$F$5,COUNTIFS(Milestones!$C$11:$C$210,S28,Milestones!$B$11:$B$210,"&lt;&gt;",Milestones!$F$11:$F$210,"&lt;&gt;Cancelled",Milestones!$F$11:$F$210,"&lt;&gt;Complete")&gt;0)</x:formula>
    </x:cfRule>
  </x:conditionalFormatting>
  <x:conditionalFormatting sqref="T28:T28">
    <x:cfRule type="expression" dxfId="890" priority="719">
      <x:formula>AND(T28&lt;&gt;"",COUNTIFS(Milestones!$C$11:$C$210,T28,Milestones!$B$11:$B$210,"&lt;&gt;",Milestones!$F$11:$F$210,"&lt;&gt;Cancelled")&gt;0)</x:formula>
    </x:cfRule>
    <x:cfRule type="expression" dxfId="891" priority="720">
      <x:formula>AND(T28&lt;&gt;"",T28&lt;Milestones!$F$5,COUNTIFS(Milestones!$C$11:$C$210,T28,Milestones!$B$11:$B$210,"&lt;&gt;",Milestones!$F$11:$F$210,"&lt;&gt;Cancelled",Milestones!$F$11:$F$210,"&lt;&gt;Complete")&gt;0)</x:formula>
    </x:cfRule>
  </x:conditionalFormatting>
  <x:conditionalFormatting sqref="U28:U28">
    <x:cfRule type="expression" dxfId="892" priority="721">
      <x:formula>AND(U28&lt;&gt;"",COUNTIFS(Milestones!$C$11:$C$210,U28,Milestones!$B$11:$B$210,"&lt;&gt;",Milestones!$F$11:$F$210,"&lt;&gt;Cancelled")&gt;0)</x:formula>
    </x:cfRule>
    <x:cfRule type="expression" dxfId="893" priority="722">
      <x:formula>AND(U28&lt;&gt;"",U28&lt;Milestones!$F$5,COUNTIFS(Milestones!$C$11:$C$210,U28,Milestones!$B$11:$B$210,"&lt;&gt;",Milestones!$F$11:$F$210,"&lt;&gt;Cancelled",Milestones!$F$11:$F$210,"&lt;&gt;Complete")&gt;0)</x:formula>
    </x:cfRule>
  </x:conditionalFormatting>
  <x:conditionalFormatting sqref="V28:V28">
    <x:cfRule type="expression" dxfId="894" priority="723">
      <x:formula>AND(V28&lt;&gt;"",COUNTIFS(Milestones!$C$11:$C$210,V28,Milestones!$B$11:$B$210,"&lt;&gt;",Milestones!$F$11:$F$210,"&lt;&gt;Cancelled")&gt;0)</x:formula>
    </x:cfRule>
    <x:cfRule type="expression" dxfId="895" priority="724">
      <x:formula>AND(V28&lt;&gt;"",V28&lt;Milestones!$F$5,COUNTIFS(Milestones!$C$11:$C$210,V28,Milestones!$B$11:$B$210,"&lt;&gt;",Milestones!$F$11:$F$210,"&lt;&gt;Cancelled",Milestones!$F$11:$F$210,"&lt;&gt;Complete")&gt;0)</x:formula>
    </x:cfRule>
  </x:conditionalFormatting>
  <x:conditionalFormatting sqref="W28:W28">
    <x:cfRule type="expression" dxfId="896" priority="725">
      <x:formula>AND(W28&lt;&gt;"",COUNTIFS(Milestones!$C$11:$C$210,W28,Milestones!$B$11:$B$210,"&lt;&gt;",Milestones!$F$11:$F$210,"&lt;&gt;Cancelled")&gt;0)</x:formula>
    </x:cfRule>
    <x:cfRule type="expression" dxfId="897" priority="726">
      <x:formula>AND(W28&lt;&gt;"",W28&lt;Milestones!$F$5,COUNTIFS(Milestones!$C$11:$C$210,W28,Milestones!$B$11:$B$210,"&lt;&gt;",Milestones!$F$11:$F$210,"&lt;&gt;Cancelled",Milestones!$F$11:$F$210,"&lt;&gt;Complete")&gt;0)</x:formula>
    </x:cfRule>
  </x:conditionalFormatting>
  <x:conditionalFormatting sqref="X28:X28">
    <x:cfRule type="expression" dxfId="898" priority="727">
      <x:formula>AND(X28&lt;&gt;"",COUNTIFS(Milestones!$C$11:$C$210,X28,Milestones!$B$11:$B$210,"&lt;&gt;",Milestones!$F$11:$F$210,"&lt;&gt;Cancelled")&gt;0)</x:formula>
    </x:cfRule>
    <x:cfRule type="expression" dxfId="899" priority="728">
      <x:formula>AND(X28&lt;&gt;"",X28&lt;Milestones!$F$5,COUNTIFS(Milestones!$C$11:$C$210,X28,Milestones!$B$11:$B$210,"&lt;&gt;",Milestones!$F$11:$F$210,"&lt;&gt;Cancelled",Milestones!$F$11:$F$210,"&lt;&gt;Complete")&gt;0)</x:formula>
    </x:cfRule>
  </x:conditionalFormatting>
  <x:conditionalFormatting sqref="R29:R29">
    <x:cfRule type="expression" dxfId="900" priority="729">
      <x:formula>AND(R29&lt;&gt;"",COUNTIFS(Milestones!$C$11:$C$210,R29,Milestones!$B$11:$B$210,"&lt;&gt;",Milestones!$F$11:$F$210,"&lt;&gt;Cancelled")&gt;0)</x:formula>
    </x:cfRule>
    <x:cfRule type="expression" dxfId="901" priority="730">
      <x:formula>AND(R29&lt;&gt;"",R29&lt;Milestones!$F$5,COUNTIFS(Milestones!$C$11:$C$210,R29,Milestones!$B$11:$B$210,"&lt;&gt;",Milestones!$F$11:$F$210,"&lt;&gt;Cancelled",Milestones!$F$11:$F$210,"&lt;&gt;Complete")&gt;0)</x:formula>
    </x:cfRule>
  </x:conditionalFormatting>
  <x:conditionalFormatting sqref="S29:S29">
    <x:cfRule type="expression" dxfId="902" priority="731">
      <x:formula>AND(S29&lt;&gt;"",COUNTIFS(Milestones!$C$11:$C$210,S29,Milestones!$B$11:$B$210,"&lt;&gt;",Milestones!$F$11:$F$210,"&lt;&gt;Cancelled")&gt;0)</x:formula>
    </x:cfRule>
    <x:cfRule type="expression" dxfId="903" priority="732">
      <x:formula>AND(S29&lt;&gt;"",S29&lt;Milestones!$F$5,COUNTIFS(Milestones!$C$11:$C$210,S29,Milestones!$B$11:$B$210,"&lt;&gt;",Milestones!$F$11:$F$210,"&lt;&gt;Cancelled",Milestones!$F$11:$F$210,"&lt;&gt;Complete")&gt;0)</x:formula>
    </x:cfRule>
  </x:conditionalFormatting>
  <x:conditionalFormatting sqref="T29:T29">
    <x:cfRule type="expression" dxfId="904" priority="733">
      <x:formula>AND(T29&lt;&gt;"",COUNTIFS(Milestones!$C$11:$C$210,T29,Milestones!$B$11:$B$210,"&lt;&gt;",Milestones!$F$11:$F$210,"&lt;&gt;Cancelled")&gt;0)</x:formula>
    </x:cfRule>
    <x:cfRule type="expression" dxfId="905" priority="734">
      <x:formula>AND(T29&lt;&gt;"",T29&lt;Milestones!$F$5,COUNTIFS(Milestones!$C$11:$C$210,T29,Milestones!$B$11:$B$210,"&lt;&gt;",Milestones!$F$11:$F$210,"&lt;&gt;Cancelled",Milestones!$F$11:$F$210,"&lt;&gt;Complete")&gt;0)</x:formula>
    </x:cfRule>
  </x:conditionalFormatting>
  <x:conditionalFormatting sqref="U29:U29">
    <x:cfRule type="expression" dxfId="906" priority="735">
      <x:formula>AND(U29&lt;&gt;"",COUNTIFS(Milestones!$C$11:$C$210,U29,Milestones!$B$11:$B$210,"&lt;&gt;",Milestones!$F$11:$F$210,"&lt;&gt;Cancelled")&gt;0)</x:formula>
    </x:cfRule>
    <x:cfRule type="expression" dxfId="907" priority="736">
      <x:formula>AND(U29&lt;&gt;"",U29&lt;Milestones!$F$5,COUNTIFS(Milestones!$C$11:$C$210,U29,Milestones!$B$11:$B$210,"&lt;&gt;",Milestones!$F$11:$F$210,"&lt;&gt;Cancelled",Milestones!$F$11:$F$210,"&lt;&gt;Complete")&gt;0)</x:formula>
    </x:cfRule>
  </x:conditionalFormatting>
  <x:conditionalFormatting sqref="V29:V29">
    <x:cfRule type="expression" dxfId="908" priority="737">
      <x:formula>AND(V29&lt;&gt;"",COUNTIFS(Milestones!$C$11:$C$210,V29,Milestones!$B$11:$B$210,"&lt;&gt;",Milestones!$F$11:$F$210,"&lt;&gt;Cancelled")&gt;0)</x:formula>
    </x:cfRule>
    <x:cfRule type="expression" dxfId="909" priority="738">
      <x:formula>AND(V29&lt;&gt;"",V29&lt;Milestones!$F$5,COUNTIFS(Milestones!$C$11:$C$210,V29,Milestones!$B$11:$B$210,"&lt;&gt;",Milestones!$F$11:$F$210,"&lt;&gt;Cancelled",Milestones!$F$11:$F$210,"&lt;&gt;Complete")&gt;0)</x:formula>
    </x:cfRule>
  </x:conditionalFormatting>
  <x:conditionalFormatting sqref="W29:W29">
    <x:cfRule type="expression" dxfId="910" priority="739">
      <x:formula>AND(W29&lt;&gt;"",COUNTIFS(Milestones!$C$11:$C$210,W29,Milestones!$B$11:$B$210,"&lt;&gt;",Milestones!$F$11:$F$210,"&lt;&gt;Cancelled")&gt;0)</x:formula>
    </x:cfRule>
    <x:cfRule type="expression" dxfId="911" priority="740">
      <x:formula>AND(W29&lt;&gt;"",W29&lt;Milestones!$F$5,COUNTIFS(Milestones!$C$11:$C$210,W29,Milestones!$B$11:$B$210,"&lt;&gt;",Milestones!$F$11:$F$210,"&lt;&gt;Cancelled",Milestones!$F$11:$F$210,"&lt;&gt;Complete")&gt;0)</x:formula>
    </x:cfRule>
  </x:conditionalFormatting>
  <x:conditionalFormatting sqref="X29:X29">
    <x:cfRule type="expression" dxfId="912" priority="741">
      <x:formula>AND(X29&lt;&gt;"",COUNTIFS(Milestones!$C$11:$C$210,X29,Milestones!$B$11:$B$210,"&lt;&gt;",Milestones!$F$11:$F$210,"&lt;&gt;Cancelled")&gt;0)</x:formula>
    </x:cfRule>
    <x:cfRule type="expression" dxfId="913" priority="742">
      <x:formula>AND(X29&lt;&gt;"",X29&lt;Milestones!$F$5,COUNTIFS(Milestones!$C$11:$C$210,X29,Milestones!$B$11:$B$210,"&lt;&gt;",Milestones!$F$11:$F$210,"&lt;&gt;Cancelled",Milestones!$F$11:$F$210,"&lt;&gt;Complete")&gt;0)</x:formula>
    </x:cfRule>
  </x:conditionalFormatting>
  <x:conditionalFormatting sqref="R30:R30">
    <x:cfRule type="expression" dxfId="914" priority="743">
      <x:formula>AND(R30&lt;&gt;"",COUNTIFS(Milestones!$C$11:$C$210,R30,Milestones!$B$11:$B$210,"&lt;&gt;",Milestones!$F$11:$F$210,"&lt;&gt;Cancelled")&gt;0)</x:formula>
    </x:cfRule>
    <x:cfRule type="expression" dxfId="915" priority="744">
      <x:formula>AND(R30&lt;&gt;"",R30&lt;Milestones!$F$5,COUNTIFS(Milestones!$C$11:$C$210,R30,Milestones!$B$11:$B$210,"&lt;&gt;",Milestones!$F$11:$F$210,"&lt;&gt;Cancelled",Milestones!$F$11:$F$210,"&lt;&gt;Complete")&gt;0)</x:formula>
    </x:cfRule>
  </x:conditionalFormatting>
  <x:conditionalFormatting sqref="S30:S30">
    <x:cfRule type="expression" dxfId="916" priority="745">
      <x:formula>AND(S30&lt;&gt;"",COUNTIFS(Milestones!$C$11:$C$210,S30,Milestones!$B$11:$B$210,"&lt;&gt;",Milestones!$F$11:$F$210,"&lt;&gt;Cancelled")&gt;0)</x:formula>
    </x:cfRule>
    <x:cfRule type="expression" dxfId="917" priority="746">
      <x:formula>AND(S30&lt;&gt;"",S30&lt;Milestones!$F$5,COUNTIFS(Milestones!$C$11:$C$210,S30,Milestones!$B$11:$B$210,"&lt;&gt;",Milestones!$F$11:$F$210,"&lt;&gt;Cancelled",Milestones!$F$11:$F$210,"&lt;&gt;Complete")&gt;0)</x:formula>
    </x:cfRule>
  </x:conditionalFormatting>
  <x:conditionalFormatting sqref="T30:T30">
    <x:cfRule type="expression" dxfId="918" priority="747">
      <x:formula>AND(T30&lt;&gt;"",COUNTIFS(Milestones!$C$11:$C$210,T30,Milestones!$B$11:$B$210,"&lt;&gt;",Milestones!$F$11:$F$210,"&lt;&gt;Cancelled")&gt;0)</x:formula>
    </x:cfRule>
    <x:cfRule type="expression" dxfId="919" priority="748">
      <x:formula>AND(T30&lt;&gt;"",T30&lt;Milestones!$F$5,COUNTIFS(Milestones!$C$11:$C$210,T30,Milestones!$B$11:$B$210,"&lt;&gt;",Milestones!$F$11:$F$210,"&lt;&gt;Cancelled",Milestones!$F$11:$F$210,"&lt;&gt;Complete")&gt;0)</x:formula>
    </x:cfRule>
  </x:conditionalFormatting>
  <x:conditionalFormatting sqref="U30:U30">
    <x:cfRule type="expression" dxfId="920" priority="749">
      <x:formula>AND(U30&lt;&gt;"",COUNTIFS(Milestones!$C$11:$C$210,U30,Milestones!$B$11:$B$210,"&lt;&gt;",Milestones!$F$11:$F$210,"&lt;&gt;Cancelled")&gt;0)</x:formula>
    </x:cfRule>
    <x:cfRule type="expression" dxfId="921" priority="750">
      <x:formula>AND(U30&lt;&gt;"",U30&lt;Milestones!$F$5,COUNTIFS(Milestones!$C$11:$C$210,U30,Milestones!$B$11:$B$210,"&lt;&gt;",Milestones!$F$11:$F$210,"&lt;&gt;Cancelled",Milestones!$F$11:$F$210,"&lt;&gt;Complete")&gt;0)</x:formula>
    </x:cfRule>
  </x:conditionalFormatting>
  <x:conditionalFormatting sqref="V30:V30">
    <x:cfRule type="expression" dxfId="922" priority="751">
      <x:formula>AND(V30&lt;&gt;"",COUNTIFS(Milestones!$C$11:$C$210,V30,Milestones!$B$11:$B$210,"&lt;&gt;",Milestones!$F$11:$F$210,"&lt;&gt;Cancelled")&gt;0)</x:formula>
    </x:cfRule>
    <x:cfRule type="expression" dxfId="923" priority="752">
      <x:formula>AND(V30&lt;&gt;"",V30&lt;Milestones!$F$5,COUNTIFS(Milestones!$C$11:$C$210,V30,Milestones!$B$11:$B$210,"&lt;&gt;",Milestones!$F$11:$F$210,"&lt;&gt;Cancelled",Milestones!$F$11:$F$210,"&lt;&gt;Complete")&gt;0)</x:formula>
    </x:cfRule>
  </x:conditionalFormatting>
  <x:conditionalFormatting sqref="W30:W30">
    <x:cfRule type="expression" dxfId="924" priority="753">
      <x:formula>AND(W30&lt;&gt;"",COUNTIFS(Milestones!$C$11:$C$210,W30,Milestones!$B$11:$B$210,"&lt;&gt;",Milestones!$F$11:$F$210,"&lt;&gt;Cancelled")&gt;0)</x:formula>
    </x:cfRule>
    <x:cfRule type="expression" dxfId="925" priority="754">
      <x:formula>AND(W30&lt;&gt;"",W30&lt;Milestones!$F$5,COUNTIFS(Milestones!$C$11:$C$210,W30,Milestones!$B$11:$B$210,"&lt;&gt;",Milestones!$F$11:$F$210,"&lt;&gt;Cancelled",Milestones!$F$11:$F$210,"&lt;&gt;Complete")&gt;0)</x:formula>
    </x:cfRule>
  </x:conditionalFormatting>
  <x:conditionalFormatting sqref="X30:X30">
    <x:cfRule type="expression" dxfId="926" priority="755">
      <x:formula>AND(X30&lt;&gt;"",COUNTIFS(Milestones!$C$11:$C$210,X30,Milestones!$B$11:$B$210,"&lt;&gt;",Milestones!$F$11:$F$210,"&lt;&gt;Cancelled")&gt;0)</x:formula>
    </x:cfRule>
    <x:cfRule type="expression" dxfId="927" priority="756">
      <x:formula>AND(X30&lt;&gt;"",X30&lt;Milestones!$F$5,COUNTIFS(Milestones!$C$11:$C$210,X30,Milestones!$B$11:$B$210,"&lt;&gt;",Milestones!$F$11:$F$210,"&lt;&gt;Cancelled",Milestones!$F$11:$F$210,"&lt;&gt;Complete")&gt;0)</x:formula>
    </x:cfRule>
  </x:conditionalFormatting>
  <x:conditionalFormatting sqref="B33:B33">
    <x:cfRule type="expression" dxfId="928" priority="757">
      <x:formula>AND(B33&lt;&gt;"",COUNTIFS(Milestones!$C$11:$C$210,B33,Milestones!$B$11:$B$210,"&lt;&gt;",Milestones!$F$11:$F$210,"&lt;&gt;Cancelled")&gt;0)</x:formula>
    </x:cfRule>
    <x:cfRule type="expression" dxfId="929" priority="758">
      <x:formula>AND(B33&lt;&gt;"",B33&lt;Milestones!$F$5,COUNTIFS(Milestones!$C$11:$C$210,B33,Milestones!$B$11:$B$210,"&lt;&gt;",Milestones!$F$11:$F$210,"&lt;&gt;Cancelled",Milestones!$F$11:$F$210,"&lt;&gt;Complete")&gt;0)</x:formula>
    </x:cfRule>
  </x:conditionalFormatting>
  <x:conditionalFormatting sqref="C33:C33">
    <x:cfRule type="expression" dxfId="930" priority="759">
      <x:formula>AND(C33&lt;&gt;"",COUNTIFS(Milestones!$C$11:$C$210,C33,Milestones!$B$11:$B$210,"&lt;&gt;",Milestones!$F$11:$F$210,"&lt;&gt;Cancelled")&gt;0)</x:formula>
    </x:cfRule>
    <x:cfRule type="expression" dxfId="931" priority="760">
      <x:formula>AND(C33&lt;&gt;"",C33&lt;Milestones!$F$5,COUNTIFS(Milestones!$C$11:$C$210,C33,Milestones!$B$11:$B$210,"&lt;&gt;",Milestones!$F$11:$F$210,"&lt;&gt;Cancelled",Milestones!$F$11:$F$210,"&lt;&gt;Complete")&gt;0)</x:formula>
    </x:cfRule>
  </x:conditionalFormatting>
  <x:conditionalFormatting sqref="D33:D33">
    <x:cfRule type="expression" dxfId="932" priority="761">
      <x:formula>AND(D33&lt;&gt;"",COUNTIFS(Milestones!$C$11:$C$210,D33,Milestones!$B$11:$B$210,"&lt;&gt;",Milestones!$F$11:$F$210,"&lt;&gt;Cancelled")&gt;0)</x:formula>
    </x:cfRule>
    <x:cfRule type="expression" dxfId="933" priority="762">
      <x:formula>AND(D33&lt;&gt;"",D33&lt;Milestones!$F$5,COUNTIFS(Milestones!$C$11:$C$210,D33,Milestones!$B$11:$B$210,"&lt;&gt;",Milestones!$F$11:$F$210,"&lt;&gt;Cancelled",Milestones!$F$11:$F$210,"&lt;&gt;Complete")&gt;0)</x:formula>
    </x:cfRule>
  </x:conditionalFormatting>
  <x:conditionalFormatting sqref="E33:E33">
    <x:cfRule type="expression" dxfId="934" priority="763">
      <x:formula>AND(E33&lt;&gt;"",COUNTIFS(Milestones!$C$11:$C$210,E33,Milestones!$B$11:$B$210,"&lt;&gt;",Milestones!$F$11:$F$210,"&lt;&gt;Cancelled")&gt;0)</x:formula>
    </x:cfRule>
    <x:cfRule type="expression" dxfId="935" priority="764">
      <x:formula>AND(E33&lt;&gt;"",E33&lt;Milestones!$F$5,COUNTIFS(Milestones!$C$11:$C$210,E33,Milestones!$B$11:$B$210,"&lt;&gt;",Milestones!$F$11:$F$210,"&lt;&gt;Cancelled",Milestones!$F$11:$F$210,"&lt;&gt;Complete")&gt;0)</x:formula>
    </x:cfRule>
  </x:conditionalFormatting>
  <x:conditionalFormatting sqref="F33:F33">
    <x:cfRule type="expression" dxfId="936" priority="765">
      <x:formula>AND(F33&lt;&gt;"",COUNTIFS(Milestones!$C$11:$C$210,F33,Milestones!$B$11:$B$210,"&lt;&gt;",Milestones!$F$11:$F$210,"&lt;&gt;Cancelled")&gt;0)</x:formula>
    </x:cfRule>
    <x:cfRule type="expression" dxfId="937" priority="766">
      <x:formula>AND(F33&lt;&gt;"",F33&lt;Milestones!$F$5,COUNTIFS(Milestones!$C$11:$C$210,F33,Milestones!$B$11:$B$210,"&lt;&gt;",Milestones!$F$11:$F$210,"&lt;&gt;Cancelled",Milestones!$F$11:$F$210,"&lt;&gt;Complete")&gt;0)</x:formula>
    </x:cfRule>
  </x:conditionalFormatting>
  <x:conditionalFormatting sqref="G33:G33">
    <x:cfRule type="expression" dxfId="938" priority="767">
      <x:formula>AND(G33&lt;&gt;"",COUNTIFS(Milestones!$C$11:$C$210,G33,Milestones!$B$11:$B$210,"&lt;&gt;",Milestones!$F$11:$F$210,"&lt;&gt;Cancelled")&gt;0)</x:formula>
    </x:cfRule>
    <x:cfRule type="expression" dxfId="939" priority="768">
      <x:formula>AND(G33&lt;&gt;"",G33&lt;Milestones!$F$5,COUNTIFS(Milestones!$C$11:$C$210,G33,Milestones!$B$11:$B$210,"&lt;&gt;",Milestones!$F$11:$F$210,"&lt;&gt;Cancelled",Milestones!$F$11:$F$210,"&lt;&gt;Complete")&gt;0)</x:formula>
    </x:cfRule>
  </x:conditionalFormatting>
  <x:conditionalFormatting sqref="H33:H33">
    <x:cfRule type="expression" dxfId="940" priority="769">
      <x:formula>AND(H33&lt;&gt;"",COUNTIFS(Milestones!$C$11:$C$210,H33,Milestones!$B$11:$B$210,"&lt;&gt;",Milestones!$F$11:$F$210,"&lt;&gt;Cancelled")&gt;0)</x:formula>
    </x:cfRule>
    <x:cfRule type="expression" dxfId="941" priority="770">
      <x:formula>AND(H33&lt;&gt;"",H33&lt;Milestones!$F$5,COUNTIFS(Milestones!$C$11:$C$210,H33,Milestones!$B$11:$B$210,"&lt;&gt;",Milestones!$F$11:$F$210,"&lt;&gt;Cancelled",Milestones!$F$11:$F$210,"&lt;&gt;Complete")&gt;0)</x:formula>
    </x:cfRule>
  </x:conditionalFormatting>
  <x:conditionalFormatting sqref="B34:B34">
    <x:cfRule type="expression" dxfId="942" priority="771">
      <x:formula>AND(B34&lt;&gt;"",COUNTIFS(Milestones!$C$11:$C$210,B34,Milestones!$B$11:$B$210,"&lt;&gt;",Milestones!$F$11:$F$210,"&lt;&gt;Cancelled")&gt;0)</x:formula>
    </x:cfRule>
    <x:cfRule type="expression" dxfId="943" priority="772">
      <x:formula>AND(B34&lt;&gt;"",B34&lt;Milestones!$F$5,COUNTIFS(Milestones!$C$11:$C$210,B34,Milestones!$B$11:$B$210,"&lt;&gt;",Milestones!$F$11:$F$210,"&lt;&gt;Cancelled",Milestones!$F$11:$F$210,"&lt;&gt;Complete")&gt;0)</x:formula>
    </x:cfRule>
  </x:conditionalFormatting>
  <x:conditionalFormatting sqref="C34:C34">
    <x:cfRule type="expression" dxfId="944" priority="773">
      <x:formula>AND(C34&lt;&gt;"",COUNTIFS(Milestones!$C$11:$C$210,C34,Milestones!$B$11:$B$210,"&lt;&gt;",Milestones!$F$11:$F$210,"&lt;&gt;Cancelled")&gt;0)</x:formula>
    </x:cfRule>
    <x:cfRule type="expression" dxfId="945" priority="774">
      <x:formula>AND(C34&lt;&gt;"",C34&lt;Milestones!$F$5,COUNTIFS(Milestones!$C$11:$C$210,C34,Milestones!$B$11:$B$210,"&lt;&gt;",Milestones!$F$11:$F$210,"&lt;&gt;Cancelled",Milestones!$F$11:$F$210,"&lt;&gt;Complete")&gt;0)</x:formula>
    </x:cfRule>
  </x:conditionalFormatting>
  <x:conditionalFormatting sqref="D34:D34">
    <x:cfRule type="expression" dxfId="946" priority="775">
      <x:formula>AND(D34&lt;&gt;"",COUNTIFS(Milestones!$C$11:$C$210,D34,Milestones!$B$11:$B$210,"&lt;&gt;",Milestones!$F$11:$F$210,"&lt;&gt;Cancelled")&gt;0)</x:formula>
    </x:cfRule>
    <x:cfRule type="expression" dxfId="947" priority="776">
      <x:formula>AND(D34&lt;&gt;"",D34&lt;Milestones!$F$5,COUNTIFS(Milestones!$C$11:$C$210,D34,Milestones!$B$11:$B$210,"&lt;&gt;",Milestones!$F$11:$F$210,"&lt;&gt;Cancelled",Milestones!$F$11:$F$210,"&lt;&gt;Complete")&gt;0)</x:formula>
    </x:cfRule>
  </x:conditionalFormatting>
  <x:conditionalFormatting sqref="E34:E34">
    <x:cfRule type="expression" dxfId="948" priority="777">
      <x:formula>AND(E34&lt;&gt;"",COUNTIFS(Milestones!$C$11:$C$210,E34,Milestones!$B$11:$B$210,"&lt;&gt;",Milestones!$F$11:$F$210,"&lt;&gt;Cancelled")&gt;0)</x:formula>
    </x:cfRule>
    <x:cfRule type="expression" dxfId="949" priority="778">
      <x:formula>AND(E34&lt;&gt;"",E34&lt;Milestones!$F$5,COUNTIFS(Milestones!$C$11:$C$210,E34,Milestones!$B$11:$B$210,"&lt;&gt;",Milestones!$F$11:$F$210,"&lt;&gt;Cancelled",Milestones!$F$11:$F$210,"&lt;&gt;Complete")&gt;0)</x:formula>
    </x:cfRule>
  </x:conditionalFormatting>
  <x:conditionalFormatting sqref="F34:F34">
    <x:cfRule type="expression" dxfId="950" priority="779">
      <x:formula>AND(F34&lt;&gt;"",COUNTIFS(Milestones!$C$11:$C$210,F34,Milestones!$B$11:$B$210,"&lt;&gt;",Milestones!$F$11:$F$210,"&lt;&gt;Cancelled")&gt;0)</x:formula>
    </x:cfRule>
    <x:cfRule type="expression" dxfId="951" priority="780">
      <x:formula>AND(F34&lt;&gt;"",F34&lt;Milestones!$F$5,COUNTIFS(Milestones!$C$11:$C$210,F34,Milestones!$B$11:$B$210,"&lt;&gt;",Milestones!$F$11:$F$210,"&lt;&gt;Cancelled",Milestones!$F$11:$F$210,"&lt;&gt;Complete")&gt;0)</x:formula>
    </x:cfRule>
  </x:conditionalFormatting>
  <x:conditionalFormatting sqref="G34:G34">
    <x:cfRule type="expression" dxfId="952" priority="781">
      <x:formula>AND(G34&lt;&gt;"",COUNTIFS(Milestones!$C$11:$C$210,G34,Milestones!$B$11:$B$210,"&lt;&gt;",Milestones!$F$11:$F$210,"&lt;&gt;Cancelled")&gt;0)</x:formula>
    </x:cfRule>
    <x:cfRule type="expression" dxfId="953" priority="782">
      <x:formula>AND(G34&lt;&gt;"",G34&lt;Milestones!$F$5,COUNTIFS(Milestones!$C$11:$C$210,G34,Milestones!$B$11:$B$210,"&lt;&gt;",Milestones!$F$11:$F$210,"&lt;&gt;Cancelled",Milestones!$F$11:$F$210,"&lt;&gt;Complete")&gt;0)</x:formula>
    </x:cfRule>
  </x:conditionalFormatting>
  <x:conditionalFormatting sqref="H34:H34">
    <x:cfRule type="expression" dxfId="954" priority="783">
      <x:formula>AND(H34&lt;&gt;"",COUNTIFS(Milestones!$C$11:$C$210,H34,Milestones!$B$11:$B$210,"&lt;&gt;",Milestones!$F$11:$F$210,"&lt;&gt;Cancelled")&gt;0)</x:formula>
    </x:cfRule>
    <x:cfRule type="expression" dxfId="955" priority="784">
      <x:formula>AND(H34&lt;&gt;"",H34&lt;Milestones!$F$5,COUNTIFS(Milestones!$C$11:$C$210,H34,Milestones!$B$11:$B$210,"&lt;&gt;",Milestones!$F$11:$F$210,"&lt;&gt;Cancelled",Milestones!$F$11:$F$210,"&lt;&gt;Complete")&gt;0)</x:formula>
    </x:cfRule>
  </x:conditionalFormatting>
  <x:conditionalFormatting sqref="B35:B35">
    <x:cfRule type="expression" dxfId="956" priority="785">
      <x:formula>AND(B35&lt;&gt;"",COUNTIFS(Milestones!$C$11:$C$210,B35,Milestones!$B$11:$B$210,"&lt;&gt;",Milestones!$F$11:$F$210,"&lt;&gt;Cancelled")&gt;0)</x:formula>
    </x:cfRule>
    <x:cfRule type="expression" dxfId="957" priority="786">
      <x:formula>AND(B35&lt;&gt;"",B35&lt;Milestones!$F$5,COUNTIFS(Milestones!$C$11:$C$210,B35,Milestones!$B$11:$B$210,"&lt;&gt;",Milestones!$F$11:$F$210,"&lt;&gt;Cancelled",Milestones!$F$11:$F$210,"&lt;&gt;Complete")&gt;0)</x:formula>
    </x:cfRule>
  </x:conditionalFormatting>
  <x:conditionalFormatting sqref="C35:C35">
    <x:cfRule type="expression" dxfId="958" priority="787">
      <x:formula>AND(C35&lt;&gt;"",COUNTIFS(Milestones!$C$11:$C$210,C35,Milestones!$B$11:$B$210,"&lt;&gt;",Milestones!$F$11:$F$210,"&lt;&gt;Cancelled")&gt;0)</x:formula>
    </x:cfRule>
    <x:cfRule type="expression" dxfId="959" priority="788">
      <x:formula>AND(C35&lt;&gt;"",C35&lt;Milestones!$F$5,COUNTIFS(Milestones!$C$11:$C$210,C35,Milestones!$B$11:$B$210,"&lt;&gt;",Milestones!$F$11:$F$210,"&lt;&gt;Cancelled",Milestones!$F$11:$F$210,"&lt;&gt;Complete")&gt;0)</x:formula>
    </x:cfRule>
  </x:conditionalFormatting>
  <x:conditionalFormatting sqref="D35:D35">
    <x:cfRule type="expression" dxfId="960" priority="789">
      <x:formula>AND(D35&lt;&gt;"",COUNTIFS(Milestones!$C$11:$C$210,D35,Milestones!$B$11:$B$210,"&lt;&gt;",Milestones!$F$11:$F$210,"&lt;&gt;Cancelled")&gt;0)</x:formula>
    </x:cfRule>
    <x:cfRule type="expression" dxfId="961" priority="790">
      <x:formula>AND(D35&lt;&gt;"",D35&lt;Milestones!$F$5,COUNTIFS(Milestones!$C$11:$C$210,D35,Milestones!$B$11:$B$210,"&lt;&gt;",Milestones!$F$11:$F$210,"&lt;&gt;Cancelled",Milestones!$F$11:$F$210,"&lt;&gt;Complete")&gt;0)</x:formula>
    </x:cfRule>
  </x:conditionalFormatting>
  <x:conditionalFormatting sqref="E35:E35">
    <x:cfRule type="expression" dxfId="962" priority="791">
      <x:formula>AND(E35&lt;&gt;"",COUNTIFS(Milestones!$C$11:$C$210,E35,Milestones!$B$11:$B$210,"&lt;&gt;",Milestones!$F$11:$F$210,"&lt;&gt;Cancelled")&gt;0)</x:formula>
    </x:cfRule>
    <x:cfRule type="expression" dxfId="963" priority="792">
      <x:formula>AND(E35&lt;&gt;"",E35&lt;Milestones!$F$5,COUNTIFS(Milestones!$C$11:$C$210,E35,Milestones!$B$11:$B$210,"&lt;&gt;",Milestones!$F$11:$F$210,"&lt;&gt;Cancelled",Milestones!$F$11:$F$210,"&lt;&gt;Complete")&gt;0)</x:formula>
    </x:cfRule>
  </x:conditionalFormatting>
  <x:conditionalFormatting sqref="F35:F35">
    <x:cfRule type="expression" dxfId="964" priority="793">
      <x:formula>AND(F35&lt;&gt;"",COUNTIFS(Milestones!$C$11:$C$210,F35,Milestones!$B$11:$B$210,"&lt;&gt;",Milestones!$F$11:$F$210,"&lt;&gt;Cancelled")&gt;0)</x:formula>
    </x:cfRule>
    <x:cfRule type="expression" dxfId="965" priority="794">
      <x:formula>AND(F35&lt;&gt;"",F35&lt;Milestones!$F$5,COUNTIFS(Milestones!$C$11:$C$210,F35,Milestones!$B$11:$B$210,"&lt;&gt;",Milestones!$F$11:$F$210,"&lt;&gt;Cancelled",Milestones!$F$11:$F$210,"&lt;&gt;Complete")&gt;0)</x:formula>
    </x:cfRule>
  </x:conditionalFormatting>
  <x:conditionalFormatting sqref="G35:G35">
    <x:cfRule type="expression" dxfId="966" priority="795">
      <x:formula>AND(G35&lt;&gt;"",COUNTIFS(Milestones!$C$11:$C$210,G35,Milestones!$B$11:$B$210,"&lt;&gt;",Milestones!$F$11:$F$210,"&lt;&gt;Cancelled")&gt;0)</x:formula>
    </x:cfRule>
    <x:cfRule type="expression" dxfId="967" priority="796">
      <x:formula>AND(G35&lt;&gt;"",G35&lt;Milestones!$F$5,COUNTIFS(Milestones!$C$11:$C$210,G35,Milestones!$B$11:$B$210,"&lt;&gt;",Milestones!$F$11:$F$210,"&lt;&gt;Cancelled",Milestones!$F$11:$F$210,"&lt;&gt;Complete")&gt;0)</x:formula>
    </x:cfRule>
  </x:conditionalFormatting>
  <x:conditionalFormatting sqref="H35:H35">
    <x:cfRule type="expression" dxfId="968" priority="797">
      <x:formula>AND(H35&lt;&gt;"",COUNTIFS(Milestones!$C$11:$C$210,H35,Milestones!$B$11:$B$210,"&lt;&gt;",Milestones!$F$11:$F$210,"&lt;&gt;Cancelled")&gt;0)</x:formula>
    </x:cfRule>
    <x:cfRule type="expression" dxfId="969" priority="798">
      <x:formula>AND(H35&lt;&gt;"",H35&lt;Milestones!$F$5,COUNTIFS(Milestones!$C$11:$C$210,H35,Milestones!$B$11:$B$210,"&lt;&gt;",Milestones!$F$11:$F$210,"&lt;&gt;Cancelled",Milestones!$F$11:$F$210,"&lt;&gt;Complete")&gt;0)</x:formula>
    </x:cfRule>
  </x:conditionalFormatting>
  <x:conditionalFormatting sqref="B36:B36">
    <x:cfRule type="expression" dxfId="970" priority="799">
      <x:formula>AND(B36&lt;&gt;"",COUNTIFS(Milestones!$C$11:$C$210,B36,Milestones!$B$11:$B$210,"&lt;&gt;",Milestones!$F$11:$F$210,"&lt;&gt;Cancelled")&gt;0)</x:formula>
    </x:cfRule>
    <x:cfRule type="expression" dxfId="971" priority="800">
      <x:formula>AND(B36&lt;&gt;"",B36&lt;Milestones!$F$5,COUNTIFS(Milestones!$C$11:$C$210,B36,Milestones!$B$11:$B$210,"&lt;&gt;",Milestones!$F$11:$F$210,"&lt;&gt;Cancelled",Milestones!$F$11:$F$210,"&lt;&gt;Complete")&gt;0)</x:formula>
    </x:cfRule>
  </x:conditionalFormatting>
  <x:conditionalFormatting sqref="C36:C36">
    <x:cfRule type="expression" dxfId="972" priority="801">
      <x:formula>AND(C36&lt;&gt;"",COUNTIFS(Milestones!$C$11:$C$210,C36,Milestones!$B$11:$B$210,"&lt;&gt;",Milestones!$F$11:$F$210,"&lt;&gt;Cancelled")&gt;0)</x:formula>
    </x:cfRule>
    <x:cfRule type="expression" dxfId="973" priority="802">
      <x:formula>AND(C36&lt;&gt;"",C36&lt;Milestones!$F$5,COUNTIFS(Milestones!$C$11:$C$210,C36,Milestones!$B$11:$B$210,"&lt;&gt;",Milestones!$F$11:$F$210,"&lt;&gt;Cancelled",Milestones!$F$11:$F$210,"&lt;&gt;Complete")&gt;0)</x:formula>
    </x:cfRule>
  </x:conditionalFormatting>
  <x:conditionalFormatting sqref="D36:D36">
    <x:cfRule type="expression" dxfId="974" priority="803">
      <x:formula>AND(D36&lt;&gt;"",COUNTIFS(Milestones!$C$11:$C$210,D36,Milestones!$B$11:$B$210,"&lt;&gt;",Milestones!$F$11:$F$210,"&lt;&gt;Cancelled")&gt;0)</x:formula>
    </x:cfRule>
    <x:cfRule type="expression" dxfId="975" priority="804">
      <x:formula>AND(D36&lt;&gt;"",D36&lt;Milestones!$F$5,COUNTIFS(Milestones!$C$11:$C$210,D36,Milestones!$B$11:$B$210,"&lt;&gt;",Milestones!$F$11:$F$210,"&lt;&gt;Cancelled",Milestones!$F$11:$F$210,"&lt;&gt;Complete")&gt;0)</x:formula>
    </x:cfRule>
  </x:conditionalFormatting>
  <x:conditionalFormatting sqref="E36:E36">
    <x:cfRule type="expression" dxfId="976" priority="805">
      <x:formula>AND(E36&lt;&gt;"",COUNTIFS(Milestones!$C$11:$C$210,E36,Milestones!$B$11:$B$210,"&lt;&gt;",Milestones!$F$11:$F$210,"&lt;&gt;Cancelled")&gt;0)</x:formula>
    </x:cfRule>
    <x:cfRule type="expression" dxfId="977" priority="806">
      <x:formula>AND(E36&lt;&gt;"",E36&lt;Milestones!$F$5,COUNTIFS(Milestones!$C$11:$C$210,E36,Milestones!$B$11:$B$210,"&lt;&gt;",Milestones!$F$11:$F$210,"&lt;&gt;Cancelled",Milestones!$F$11:$F$210,"&lt;&gt;Complete")&gt;0)</x:formula>
    </x:cfRule>
  </x:conditionalFormatting>
  <x:conditionalFormatting sqref="F36:F36">
    <x:cfRule type="expression" dxfId="978" priority="807">
      <x:formula>AND(F36&lt;&gt;"",COUNTIFS(Milestones!$C$11:$C$210,F36,Milestones!$B$11:$B$210,"&lt;&gt;",Milestones!$F$11:$F$210,"&lt;&gt;Cancelled")&gt;0)</x:formula>
    </x:cfRule>
    <x:cfRule type="expression" dxfId="979" priority="808">
      <x:formula>AND(F36&lt;&gt;"",F36&lt;Milestones!$F$5,COUNTIFS(Milestones!$C$11:$C$210,F36,Milestones!$B$11:$B$210,"&lt;&gt;",Milestones!$F$11:$F$210,"&lt;&gt;Cancelled",Milestones!$F$11:$F$210,"&lt;&gt;Complete")&gt;0)</x:formula>
    </x:cfRule>
  </x:conditionalFormatting>
  <x:conditionalFormatting sqref="G36:G36">
    <x:cfRule type="expression" dxfId="980" priority="809">
      <x:formula>AND(G36&lt;&gt;"",COUNTIFS(Milestones!$C$11:$C$210,G36,Milestones!$B$11:$B$210,"&lt;&gt;",Milestones!$F$11:$F$210,"&lt;&gt;Cancelled")&gt;0)</x:formula>
    </x:cfRule>
    <x:cfRule type="expression" dxfId="981" priority="810">
      <x:formula>AND(G36&lt;&gt;"",G36&lt;Milestones!$F$5,COUNTIFS(Milestones!$C$11:$C$210,G36,Milestones!$B$11:$B$210,"&lt;&gt;",Milestones!$F$11:$F$210,"&lt;&gt;Cancelled",Milestones!$F$11:$F$210,"&lt;&gt;Complete")&gt;0)</x:formula>
    </x:cfRule>
  </x:conditionalFormatting>
  <x:conditionalFormatting sqref="H36:H36">
    <x:cfRule type="expression" dxfId="982" priority="811">
      <x:formula>AND(H36&lt;&gt;"",COUNTIFS(Milestones!$C$11:$C$210,H36,Milestones!$B$11:$B$210,"&lt;&gt;",Milestones!$F$11:$F$210,"&lt;&gt;Cancelled")&gt;0)</x:formula>
    </x:cfRule>
    <x:cfRule type="expression" dxfId="983" priority="812">
      <x:formula>AND(H36&lt;&gt;"",H36&lt;Milestones!$F$5,COUNTIFS(Milestones!$C$11:$C$210,H36,Milestones!$B$11:$B$210,"&lt;&gt;",Milestones!$F$11:$F$210,"&lt;&gt;Cancelled",Milestones!$F$11:$F$210,"&lt;&gt;Complete")&gt;0)</x:formula>
    </x:cfRule>
  </x:conditionalFormatting>
  <x:conditionalFormatting sqref="B37:B37">
    <x:cfRule type="expression" dxfId="984" priority="813">
      <x:formula>AND(B37&lt;&gt;"",COUNTIFS(Milestones!$C$11:$C$210,B37,Milestones!$B$11:$B$210,"&lt;&gt;",Milestones!$F$11:$F$210,"&lt;&gt;Cancelled")&gt;0)</x:formula>
    </x:cfRule>
    <x:cfRule type="expression" dxfId="985" priority="814">
      <x:formula>AND(B37&lt;&gt;"",B37&lt;Milestones!$F$5,COUNTIFS(Milestones!$C$11:$C$210,B37,Milestones!$B$11:$B$210,"&lt;&gt;",Milestones!$F$11:$F$210,"&lt;&gt;Cancelled",Milestones!$F$11:$F$210,"&lt;&gt;Complete")&gt;0)</x:formula>
    </x:cfRule>
  </x:conditionalFormatting>
  <x:conditionalFormatting sqref="C37:C37">
    <x:cfRule type="expression" dxfId="986" priority="815">
      <x:formula>AND(C37&lt;&gt;"",COUNTIFS(Milestones!$C$11:$C$210,C37,Milestones!$B$11:$B$210,"&lt;&gt;",Milestones!$F$11:$F$210,"&lt;&gt;Cancelled")&gt;0)</x:formula>
    </x:cfRule>
    <x:cfRule type="expression" dxfId="987" priority="816">
      <x:formula>AND(C37&lt;&gt;"",C37&lt;Milestones!$F$5,COUNTIFS(Milestones!$C$11:$C$210,C37,Milestones!$B$11:$B$210,"&lt;&gt;",Milestones!$F$11:$F$210,"&lt;&gt;Cancelled",Milestones!$F$11:$F$210,"&lt;&gt;Complete")&gt;0)</x:formula>
    </x:cfRule>
  </x:conditionalFormatting>
  <x:conditionalFormatting sqref="D37:D37">
    <x:cfRule type="expression" dxfId="988" priority="817">
      <x:formula>AND(D37&lt;&gt;"",COUNTIFS(Milestones!$C$11:$C$210,D37,Milestones!$B$11:$B$210,"&lt;&gt;",Milestones!$F$11:$F$210,"&lt;&gt;Cancelled")&gt;0)</x:formula>
    </x:cfRule>
    <x:cfRule type="expression" dxfId="989" priority="818">
      <x:formula>AND(D37&lt;&gt;"",D37&lt;Milestones!$F$5,COUNTIFS(Milestones!$C$11:$C$210,D37,Milestones!$B$11:$B$210,"&lt;&gt;",Milestones!$F$11:$F$210,"&lt;&gt;Cancelled",Milestones!$F$11:$F$210,"&lt;&gt;Complete")&gt;0)</x:formula>
    </x:cfRule>
  </x:conditionalFormatting>
  <x:conditionalFormatting sqref="E37:E37">
    <x:cfRule type="expression" dxfId="990" priority="819">
      <x:formula>AND(E37&lt;&gt;"",COUNTIFS(Milestones!$C$11:$C$210,E37,Milestones!$B$11:$B$210,"&lt;&gt;",Milestones!$F$11:$F$210,"&lt;&gt;Cancelled")&gt;0)</x:formula>
    </x:cfRule>
    <x:cfRule type="expression" dxfId="991" priority="820">
      <x:formula>AND(E37&lt;&gt;"",E37&lt;Milestones!$F$5,COUNTIFS(Milestones!$C$11:$C$210,E37,Milestones!$B$11:$B$210,"&lt;&gt;",Milestones!$F$11:$F$210,"&lt;&gt;Cancelled",Milestones!$F$11:$F$210,"&lt;&gt;Complete")&gt;0)</x:formula>
    </x:cfRule>
  </x:conditionalFormatting>
  <x:conditionalFormatting sqref="F37:F37">
    <x:cfRule type="expression" dxfId="992" priority="821">
      <x:formula>AND(F37&lt;&gt;"",COUNTIFS(Milestones!$C$11:$C$210,F37,Milestones!$B$11:$B$210,"&lt;&gt;",Milestones!$F$11:$F$210,"&lt;&gt;Cancelled")&gt;0)</x:formula>
    </x:cfRule>
    <x:cfRule type="expression" dxfId="993" priority="822">
      <x:formula>AND(F37&lt;&gt;"",F37&lt;Milestones!$F$5,COUNTIFS(Milestones!$C$11:$C$210,F37,Milestones!$B$11:$B$210,"&lt;&gt;",Milestones!$F$11:$F$210,"&lt;&gt;Cancelled",Milestones!$F$11:$F$210,"&lt;&gt;Complete")&gt;0)</x:formula>
    </x:cfRule>
  </x:conditionalFormatting>
  <x:conditionalFormatting sqref="G37:G37">
    <x:cfRule type="expression" dxfId="994" priority="823">
      <x:formula>AND(G37&lt;&gt;"",COUNTIFS(Milestones!$C$11:$C$210,G37,Milestones!$B$11:$B$210,"&lt;&gt;",Milestones!$F$11:$F$210,"&lt;&gt;Cancelled")&gt;0)</x:formula>
    </x:cfRule>
    <x:cfRule type="expression" dxfId="995" priority="824">
      <x:formula>AND(G37&lt;&gt;"",G37&lt;Milestones!$F$5,COUNTIFS(Milestones!$C$11:$C$210,G37,Milestones!$B$11:$B$210,"&lt;&gt;",Milestones!$F$11:$F$210,"&lt;&gt;Cancelled",Milestones!$F$11:$F$210,"&lt;&gt;Complete")&gt;0)</x:formula>
    </x:cfRule>
  </x:conditionalFormatting>
  <x:conditionalFormatting sqref="H37:H37">
    <x:cfRule type="expression" dxfId="996" priority="825">
      <x:formula>AND(H37&lt;&gt;"",COUNTIFS(Milestones!$C$11:$C$210,H37,Milestones!$B$11:$B$210,"&lt;&gt;",Milestones!$F$11:$F$210,"&lt;&gt;Cancelled")&gt;0)</x:formula>
    </x:cfRule>
    <x:cfRule type="expression" dxfId="997" priority="826">
      <x:formula>AND(H37&lt;&gt;"",H37&lt;Milestones!$F$5,COUNTIFS(Milestones!$C$11:$C$210,H37,Milestones!$B$11:$B$210,"&lt;&gt;",Milestones!$F$11:$F$210,"&lt;&gt;Cancelled",Milestones!$F$11:$F$210,"&lt;&gt;Complete")&gt;0)</x:formula>
    </x:cfRule>
  </x:conditionalFormatting>
  <x:conditionalFormatting sqref="B38:B38">
    <x:cfRule type="expression" dxfId="998" priority="827">
      <x:formula>AND(B38&lt;&gt;"",COUNTIFS(Milestones!$C$11:$C$210,B38,Milestones!$B$11:$B$210,"&lt;&gt;",Milestones!$F$11:$F$210,"&lt;&gt;Cancelled")&gt;0)</x:formula>
    </x:cfRule>
    <x:cfRule type="expression" dxfId="999" priority="828">
      <x:formula>AND(B38&lt;&gt;"",B38&lt;Milestones!$F$5,COUNTIFS(Milestones!$C$11:$C$210,B38,Milestones!$B$11:$B$210,"&lt;&gt;",Milestones!$F$11:$F$210,"&lt;&gt;Cancelled",Milestones!$F$11:$F$210,"&lt;&gt;Complete")&gt;0)</x:formula>
    </x:cfRule>
  </x:conditionalFormatting>
  <x:conditionalFormatting sqref="C38:C38">
    <x:cfRule type="expression" dxfId="1000" priority="829">
      <x:formula>AND(C38&lt;&gt;"",COUNTIFS(Milestones!$C$11:$C$210,C38,Milestones!$B$11:$B$210,"&lt;&gt;",Milestones!$F$11:$F$210,"&lt;&gt;Cancelled")&gt;0)</x:formula>
    </x:cfRule>
    <x:cfRule type="expression" dxfId="1001" priority="830">
      <x:formula>AND(C38&lt;&gt;"",C38&lt;Milestones!$F$5,COUNTIFS(Milestones!$C$11:$C$210,C38,Milestones!$B$11:$B$210,"&lt;&gt;",Milestones!$F$11:$F$210,"&lt;&gt;Cancelled",Milestones!$F$11:$F$210,"&lt;&gt;Complete")&gt;0)</x:formula>
    </x:cfRule>
  </x:conditionalFormatting>
  <x:conditionalFormatting sqref="D38:D38">
    <x:cfRule type="expression" dxfId="1002" priority="831">
      <x:formula>AND(D38&lt;&gt;"",COUNTIFS(Milestones!$C$11:$C$210,D38,Milestones!$B$11:$B$210,"&lt;&gt;",Milestones!$F$11:$F$210,"&lt;&gt;Cancelled")&gt;0)</x:formula>
    </x:cfRule>
    <x:cfRule type="expression" dxfId="1003" priority="832">
      <x:formula>AND(D38&lt;&gt;"",D38&lt;Milestones!$F$5,COUNTIFS(Milestones!$C$11:$C$210,D38,Milestones!$B$11:$B$210,"&lt;&gt;",Milestones!$F$11:$F$210,"&lt;&gt;Cancelled",Milestones!$F$11:$F$210,"&lt;&gt;Complete")&gt;0)</x:formula>
    </x:cfRule>
  </x:conditionalFormatting>
  <x:conditionalFormatting sqref="E38:E38">
    <x:cfRule type="expression" dxfId="1004" priority="833">
      <x:formula>AND(E38&lt;&gt;"",COUNTIFS(Milestones!$C$11:$C$210,E38,Milestones!$B$11:$B$210,"&lt;&gt;",Milestones!$F$11:$F$210,"&lt;&gt;Cancelled")&gt;0)</x:formula>
    </x:cfRule>
    <x:cfRule type="expression" dxfId="1005" priority="834">
      <x:formula>AND(E38&lt;&gt;"",E38&lt;Milestones!$F$5,COUNTIFS(Milestones!$C$11:$C$210,E38,Milestones!$B$11:$B$210,"&lt;&gt;",Milestones!$F$11:$F$210,"&lt;&gt;Cancelled",Milestones!$F$11:$F$210,"&lt;&gt;Complete")&gt;0)</x:formula>
    </x:cfRule>
  </x:conditionalFormatting>
  <x:conditionalFormatting sqref="F38:F38">
    <x:cfRule type="expression" dxfId="1006" priority="835">
      <x:formula>AND(F38&lt;&gt;"",COUNTIFS(Milestones!$C$11:$C$210,F38,Milestones!$B$11:$B$210,"&lt;&gt;",Milestones!$F$11:$F$210,"&lt;&gt;Cancelled")&gt;0)</x:formula>
    </x:cfRule>
    <x:cfRule type="expression" dxfId="1007" priority="836">
      <x:formula>AND(F38&lt;&gt;"",F38&lt;Milestones!$F$5,COUNTIFS(Milestones!$C$11:$C$210,F38,Milestones!$B$11:$B$210,"&lt;&gt;",Milestones!$F$11:$F$210,"&lt;&gt;Cancelled",Milestones!$F$11:$F$210,"&lt;&gt;Complete")&gt;0)</x:formula>
    </x:cfRule>
  </x:conditionalFormatting>
  <x:conditionalFormatting sqref="G38:G38">
    <x:cfRule type="expression" dxfId="1008" priority="837">
      <x:formula>AND(G38&lt;&gt;"",COUNTIFS(Milestones!$C$11:$C$210,G38,Milestones!$B$11:$B$210,"&lt;&gt;",Milestones!$F$11:$F$210,"&lt;&gt;Cancelled")&gt;0)</x:formula>
    </x:cfRule>
    <x:cfRule type="expression" dxfId="1009" priority="838">
      <x:formula>AND(G38&lt;&gt;"",G38&lt;Milestones!$F$5,COUNTIFS(Milestones!$C$11:$C$210,G38,Milestones!$B$11:$B$210,"&lt;&gt;",Milestones!$F$11:$F$210,"&lt;&gt;Cancelled",Milestones!$F$11:$F$210,"&lt;&gt;Complete")&gt;0)</x:formula>
    </x:cfRule>
  </x:conditionalFormatting>
  <x:conditionalFormatting sqref="H38:H38">
    <x:cfRule type="expression" dxfId="1010" priority="839">
      <x:formula>AND(H38&lt;&gt;"",COUNTIFS(Milestones!$C$11:$C$210,H38,Milestones!$B$11:$B$210,"&lt;&gt;",Milestones!$F$11:$F$210,"&lt;&gt;Cancelled")&gt;0)</x:formula>
    </x:cfRule>
    <x:cfRule type="expression" dxfId="1011" priority="840">
      <x:formula>AND(H38&lt;&gt;"",H38&lt;Milestones!$F$5,COUNTIFS(Milestones!$C$11:$C$210,H38,Milestones!$B$11:$B$210,"&lt;&gt;",Milestones!$F$11:$F$210,"&lt;&gt;Cancelled",Milestones!$F$11:$F$210,"&lt;&gt;Complete")&gt;0)</x:formula>
    </x:cfRule>
  </x:conditionalFormatting>
  <x:conditionalFormatting sqref="J33:J33">
    <x:cfRule type="expression" dxfId="1012" priority="841">
      <x:formula>AND(J33&lt;&gt;"",COUNTIFS(Milestones!$C$11:$C$210,J33,Milestones!$B$11:$B$210,"&lt;&gt;",Milestones!$F$11:$F$210,"&lt;&gt;Cancelled")&gt;0)</x:formula>
    </x:cfRule>
    <x:cfRule type="expression" dxfId="1013" priority="842">
      <x:formula>AND(J33&lt;&gt;"",J33&lt;Milestones!$F$5,COUNTIFS(Milestones!$C$11:$C$210,J33,Milestones!$B$11:$B$210,"&lt;&gt;",Milestones!$F$11:$F$210,"&lt;&gt;Cancelled",Milestones!$F$11:$F$210,"&lt;&gt;Complete")&gt;0)</x:formula>
    </x:cfRule>
  </x:conditionalFormatting>
  <x:conditionalFormatting sqref="K33:K33">
    <x:cfRule type="expression" dxfId="1014" priority="843">
      <x:formula>AND(K33&lt;&gt;"",COUNTIFS(Milestones!$C$11:$C$210,K33,Milestones!$B$11:$B$210,"&lt;&gt;",Milestones!$F$11:$F$210,"&lt;&gt;Cancelled")&gt;0)</x:formula>
    </x:cfRule>
    <x:cfRule type="expression" dxfId="1015" priority="844">
      <x:formula>AND(K33&lt;&gt;"",K33&lt;Milestones!$F$5,COUNTIFS(Milestones!$C$11:$C$210,K33,Milestones!$B$11:$B$210,"&lt;&gt;",Milestones!$F$11:$F$210,"&lt;&gt;Cancelled",Milestones!$F$11:$F$210,"&lt;&gt;Complete")&gt;0)</x:formula>
    </x:cfRule>
  </x:conditionalFormatting>
  <x:conditionalFormatting sqref="L33:L33">
    <x:cfRule type="expression" dxfId="1016" priority="845">
      <x:formula>AND(L33&lt;&gt;"",COUNTIFS(Milestones!$C$11:$C$210,L33,Milestones!$B$11:$B$210,"&lt;&gt;",Milestones!$F$11:$F$210,"&lt;&gt;Cancelled")&gt;0)</x:formula>
    </x:cfRule>
    <x:cfRule type="expression" dxfId="1017" priority="846">
      <x:formula>AND(L33&lt;&gt;"",L33&lt;Milestones!$F$5,COUNTIFS(Milestones!$C$11:$C$210,L33,Milestones!$B$11:$B$210,"&lt;&gt;",Milestones!$F$11:$F$210,"&lt;&gt;Cancelled",Milestones!$F$11:$F$210,"&lt;&gt;Complete")&gt;0)</x:formula>
    </x:cfRule>
  </x:conditionalFormatting>
  <x:conditionalFormatting sqref="M33:M33">
    <x:cfRule type="expression" dxfId="1018" priority="847">
      <x:formula>AND(M33&lt;&gt;"",COUNTIFS(Milestones!$C$11:$C$210,M33,Milestones!$B$11:$B$210,"&lt;&gt;",Milestones!$F$11:$F$210,"&lt;&gt;Cancelled")&gt;0)</x:formula>
    </x:cfRule>
    <x:cfRule type="expression" dxfId="1019" priority="848">
      <x:formula>AND(M33&lt;&gt;"",M33&lt;Milestones!$F$5,COUNTIFS(Milestones!$C$11:$C$210,M33,Milestones!$B$11:$B$210,"&lt;&gt;",Milestones!$F$11:$F$210,"&lt;&gt;Cancelled",Milestones!$F$11:$F$210,"&lt;&gt;Complete")&gt;0)</x:formula>
    </x:cfRule>
  </x:conditionalFormatting>
  <x:conditionalFormatting sqref="N33:N33">
    <x:cfRule type="expression" dxfId="1020" priority="849">
      <x:formula>AND(N33&lt;&gt;"",COUNTIFS(Milestones!$C$11:$C$210,N33,Milestones!$B$11:$B$210,"&lt;&gt;",Milestones!$F$11:$F$210,"&lt;&gt;Cancelled")&gt;0)</x:formula>
    </x:cfRule>
    <x:cfRule type="expression" dxfId="1021" priority="850">
      <x:formula>AND(N33&lt;&gt;"",N33&lt;Milestones!$F$5,COUNTIFS(Milestones!$C$11:$C$210,N33,Milestones!$B$11:$B$210,"&lt;&gt;",Milestones!$F$11:$F$210,"&lt;&gt;Cancelled",Milestones!$F$11:$F$210,"&lt;&gt;Complete")&gt;0)</x:formula>
    </x:cfRule>
  </x:conditionalFormatting>
  <x:conditionalFormatting sqref="O33:O33">
    <x:cfRule type="expression" dxfId="1022" priority="851">
      <x:formula>AND(O33&lt;&gt;"",COUNTIFS(Milestones!$C$11:$C$210,O33,Milestones!$B$11:$B$210,"&lt;&gt;",Milestones!$F$11:$F$210,"&lt;&gt;Cancelled")&gt;0)</x:formula>
    </x:cfRule>
    <x:cfRule type="expression" dxfId="1023" priority="852">
      <x:formula>AND(O33&lt;&gt;"",O33&lt;Milestones!$F$5,COUNTIFS(Milestones!$C$11:$C$210,O33,Milestones!$B$11:$B$210,"&lt;&gt;",Milestones!$F$11:$F$210,"&lt;&gt;Cancelled",Milestones!$F$11:$F$210,"&lt;&gt;Complete")&gt;0)</x:formula>
    </x:cfRule>
  </x:conditionalFormatting>
  <x:conditionalFormatting sqref="P33:P33">
    <x:cfRule type="expression" dxfId="1024" priority="853">
      <x:formula>AND(P33&lt;&gt;"",COUNTIFS(Milestones!$C$11:$C$210,P33,Milestones!$B$11:$B$210,"&lt;&gt;",Milestones!$F$11:$F$210,"&lt;&gt;Cancelled")&gt;0)</x:formula>
    </x:cfRule>
    <x:cfRule type="expression" dxfId="1025" priority="854">
      <x:formula>AND(P33&lt;&gt;"",P33&lt;Milestones!$F$5,COUNTIFS(Milestones!$C$11:$C$210,P33,Milestones!$B$11:$B$210,"&lt;&gt;",Milestones!$F$11:$F$210,"&lt;&gt;Cancelled",Milestones!$F$11:$F$210,"&lt;&gt;Complete")&gt;0)</x:formula>
    </x:cfRule>
  </x:conditionalFormatting>
  <x:conditionalFormatting sqref="J34:J34">
    <x:cfRule type="expression" dxfId="1026" priority="855">
      <x:formula>AND(J34&lt;&gt;"",COUNTIFS(Milestones!$C$11:$C$210,J34,Milestones!$B$11:$B$210,"&lt;&gt;",Milestones!$F$11:$F$210,"&lt;&gt;Cancelled")&gt;0)</x:formula>
    </x:cfRule>
    <x:cfRule type="expression" dxfId="1027" priority="856">
      <x:formula>AND(J34&lt;&gt;"",J34&lt;Milestones!$F$5,COUNTIFS(Milestones!$C$11:$C$210,J34,Milestones!$B$11:$B$210,"&lt;&gt;",Milestones!$F$11:$F$210,"&lt;&gt;Cancelled",Milestones!$F$11:$F$210,"&lt;&gt;Complete")&gt;0)</x:formula>
    </x:cfRule>
  </x:conditionalFormatting>
  <x:conditionalFormatting sqref="K34:K34">
    <x:cfRule type="expression" dxfId="1028" priority="857">
      <x:formula>AND(K34&lt;&gt;"",COUNTIFS(Milestones!$C$11:$C$210,K34,Milestones!$B$11:$B$210,"&lt;&gt;",Milestones!$F$11:$F$210,"&lt;&gt;Cancelled")&gt;0)</x:formula>
    </x:cfRule>
    <x:cfRule type="expression" dxfId="1029" priority="858">
      <x:formula>AND(K34&lt;&gt;"",K34&lt;Milestones!$F$5,COUNTIFS(Milestones!$C$11:$C$210,K34,Milestones!$B$11:$B$210,"&lt;&gt;",Milestones!$F$11:$F$210,"&lt;&gt;Cancelled",Milestones!$F$11:$F$210,"&lt;&gt;Complete")&gt;0)</x:formula>
    </x:cfRule>
  </x:conditionalFormatting>
  <x:conditionalFormatting sqref="L34:L34">
    <x:cfRule type="expression" dxfId="1030" priority="859">
      <x:formula>AND(L34&lt;&gt;"",COUNTIFS(Milestones!$C$11:$C$210,L34,Milestones!$B$11:$B$210,"&lt;&gt;",Milestones!$F$11:$F$210,"&lt;&gt;Cancelled")&gt;0)</x:formula>
    </x:cfRule>
    <x:cfRule type="expression" dxfId="1031" priority="860">
      <x:formula>AND(L34&lt;&gt;"",L34&lt;Milestones!$F$5,COUNTIFS(Milestones!$C$11:$C$210,L34,Milestones!$B$11:$B$210,"&lt;&gt;",Milestones!$F$11:$F$210,"&lt;&gt;Cancelled",Milestones!$F$11:$F$210,"&lt;&gt;Complete")&gt;0)</x:formula>
    </x:cfRule>
  </x:conditionalFormatting>
  <x:conditionalFormatting sqref="M34:M34">
    <x:cfRule type="expression" dxfId="1032" priority="861">
      <x:formula>AND(M34&lt;&gt;"",COUNTIFS(Milestones!$C$11:$C$210,M34,Milestones!$B$11:$B$210,"&lt;&gt;",Milestones!$F$11:$F$210,"&lt;&gt;Cancelled")&gt;0)</x:formula>
    </x:cfRule>
    <x:cfRule type="expression" dxfId="1033" priority="862">
      <x:formula>AND(M34&lt;&gt;"",M34&lt;Milestones!$F$5,COUNTIFS(Milestones!$C$11:$C$210,M34,Milestones!$B$11:$B$210,"&lt;&gt;",Milestones!$F$11:$F$210,"&lt;&gt;Cancelled",Milestones!$F$11:$F$210,"&lt;&gt;Complete")&gt;0)</x:formula>
    </x:cfRule>
  </x:conditionalFormatting>
  <x:conditionalFormatting sqref="N34:N34">
    <x:cfRule type="expression" dxfId="1034" priority="863">
      <x:formula>AND(N34&lt;&gt;"",COUNTIFS(Milestones!$C$11:$C$210,N34,Milestones!$B$11:$B$210,"&lt;&gt;",Milestones!$F$11:$F$210,"&lt;&gt;Cancelled")&gt;0)</x:formula>
    </x:cfRule>
    <x:cfRule type="expression" dxfId="1035" priority="864">
      <x:formula>AND(N34&lt;&gt;"",N34&lt;Milestones!$F$5,COUNTIFS(Milestones!$C$11:$C$210,N34,Milestones!$B$11:$B$210,"&lt;&gt;",Milestones!$F$11:$F$210,"&lt;&gt;Cancelled",Milestones!$F$11:$F$210,"&lt;&gt;Complete")&gt;0)</x:formula>
    </x:cfRule>
  </x:conditionalFormatting>
  <x:conditionalFormatting sqref="O34:O34">
    <x:cfRule type="expression" dxfId="1036" priority="865">
      <x:formula>AND(O34&lt;&gt;"",COUNTIFS(Milestones!$C$11:$C$210,O34,Milestones!$B$11:$B$210,"&lt;&gt;",Milestones!$F$11:$F$210,"&lt;&gt;Cancelled")&gt;0)</x:formula>
    </x:cfRule>
    <x:cfRule type="expression" dxfId="1037" priority="866">
      <x:formula>AND(O34&lt;&gt;"",O34&lt;Milestones!$F$5,COUNTIFS(Milestones!$C$11:$C$210,O34,Milestones!$B$11:$B$210,"&lt;&gt;",Milestones!$F$11:$F$210,"&lt;&gt;Cancelled",Milestones!$F$11:$F$210,"&lt;&gt;Complete")&gt;0)</x:formula>
    </x:cfRule>
  </x:conditionalFormatting>
  <x:conditionalFormatting sqref="P34:P34">
    <x:cfRule type="expression" dxfId="1038" priority="867">
      <x:formula>AND(P34&lt;&gt;"",COUNTIFS(Milestones!$C$11:$C$210,P34,Milestones!$B$11:$B$210,"&lt;&gt;",Milestones!$F$11:$F$210,"&lt;&gt;Cancelled")&gt;0)</x:formula>
    </x:cfRule>
    <x:cfRule type="expression" dxfId="1039" priority="868">
      <x:formula>AND(P34&lt;&gt;"",P34&lt;Milestones!$F$5,COUNTIFS(Milestones!$C$11:$C$210,P34,Milestones!$B$11:$B$210,"&lt;&gt;",Milestones!$F$11:$F$210,"&lt;&gt;Cancelled",Milestones!$F$11:$F$210,"&lt;&gt;Complete")&gt;0)</x:formula>
    </x:cfRule>
  </x:conditionalFormatting>
  <x:conditionalFormatting sqref="J35:J35">
    <x:cfRule type="expression" dxfId="1040" priority="869">
      <x:formula>AND(J35&lt;&gt;"",COUNTIFS(Milestones!$C$11:$C$210,J35,Milestones!$B$11:$B$210,"&lt;&gt;",Milestones!$F$11:$F$210,"&lt;&gt;Cancelled")&gt;0)</x:formula>
    </x:cfRule>
    <x:cfRule type="expression" dxfId="1041" priority="870">
      <x:formula>AND(J35&lt;&gt;"",J35&lt;Milestones!$F$5,COUNTIFS(Milestones!$C$11:$C$210,J35,Milestones!$B$11:$B$210,"&lt;&gt;",Milestones!$F$11:$F$210,"&lt;&gt;Cancelled",Milestones!$F$11:$F$210,"&lt;&gt;Complete")&gt;0)</x:formula>
    </x:cfRule>
  </x:conditionalFormatting>
  <x:conditionalFormatting sqref="K35:K35">
    <x:cfRule type="expression" dxfId="1042" priority="871">
      <x:formula>AND(K35&lt;&gt;"",COUNTIFS(Milestones!$C$11:$C$210,K35,Milestones!$B$11:$B$210,"&lt;&gt;",Milestones!$F$11:$F$210,"&lt;&gt;Cancelled")&gt;0)</x:formula>
    </x:cfRule>
    <x:cfRule type="expression" dxfId="1043" priority="872">
      <x:formula>AND(K35&lt;&gt;"",K35&lt;Milestones!$F$5,COUNTIFS(Milestones!$C$11:$C$210,K35,Milestones!$B$11:$B$210,"&lt;&gt;",Milestones!$F$11:$F$210,"&lt;&gt;Cancelled",Milestones!$F$11:$F$210,"&lt;&gt;Complete")&gt;0)</x:formula>
    </x:cfRule>
  </x:conditionalFormatting>
  <x:conditionalFormatting sqref="L35:L35">
    <x:cfRule type="expression" dxfId="1044" priority="873">
      <x:formula>AND(L35&lt;&gt;"",COUNTIFS(Milestones!$C$11:$C$210,L35,Milestones!$B$11:$B$210,"&lt;&gt;",Milestones!$F$11:$F$210,"&lt;&gt;Cancelled")&gt;0)</x:formula>
    </x:cfRule>
    <x:cfRule type="expression" dxfId="1045" priority="874">
      <x:formula>AND(L35&lt;&gt;"",L35&lt;Milestones!$F$5,COUNTIFS(Milestones!$C$11:$C$210,L35,Milestones!$B$11:$B$210,"&lt;&gt;",Milestones!$F$11:$F$210,"&lt;&gt;Cancelled",Milestones!$F$11:$F$210,"&lt;&gt;Complete")&gt;0)</x:formula>
    </x:cfRule>
  </x:conditionalFormatting>
  <x:conditionalFormatting sqref="M35:M35">
    <x:cfRule type="expression" dxfId="1046" priority="875">
      <x:formula>AND(M35&lt;&gt;"",COUNTIFS(Milestones!$C$11:$C$210,M35,Milestones!$B$11:$B$210,"&lt;&gt;",Milestones!$F$11:$F$210,"&lt;&gt;Cancelled")&gt;0)</x:formula>
    </x:cfRule>
    <x:cfRule type="expression" dxfId="1047" priority="876">
      <x:formula>AND(M35&lt;&gt;"",M35&lt;Milestones!$F$5,COUNTIFS(Milestones!$C$11:$C$210,M35,Milestones!$B$11:$B$210,"&lt;&gt;",Milestones!$F$11:$F$210,"&lt;&gt;Cancelled",Milestones!$F$11:$F$210,"&lt;&gt;Complete")&gt;0)</x:formula>
    </x:cfRule>
  </x:conditionalFormatting>
  <x:conditionalFormatting sqref="N35:N35">
    <x:cfRule type="expression" dxfId="1048" priority="877">
      <x:formula>AND(N35&lt;&gt;"",COUNTIFS(Milestones!$C$11:$C$210,N35,Milestones!$B$11:$B$210,"&lt;&gt;",Milestones!$F$11:$F$210,"&lt;&gt;Cancelled")&gt;0)</x:formula>
    </x:cfRule>
    <x:cfRule type="expression" dxfId="1049" priority="878">
      <x:formula>AND(N35&lt;&gt;"",N35&lt;Milestones!$F$5,COUNTIFS(Milestones!$C$11:$C$210,N35,Milestones!$B$11:$B$210,"&lt;&gt;",Milestones!$F$11:$F$210,"&lt;&gt;Cancelled",Milestones!$F$11:$F$210,"&lt;&gt;Complete")&gt;0)</x:formula>
    </x:cfRule>
  </x:conditionalFormatting>
  <x:conditionalFormatting sqref="O35:O35">
    <x:cfRule type="expression" dxfId="1050" priority="879">
      <x:formula>AND(O35&lt;&gt;"",COUNTIFS(Milestones!$C$11:$C$210,O35,Milestones!$B$11:$B$210,"&lt;&gt;",Milestones!$F$11:$F$210,"&lt;&gt;Cancelled")&gt;0)</x:formula>
    </x:cfRule>
    <x:cfRule type="expression" dxfId="1051" priority="880">
      <x:formula>AND(O35&lt;&gt;"",O35&lt;Milestones!$F$5,COUNTIFS(Milestones!$C$11:$C$210,O35,Milestones!$B$11:$B$210,"&lt;&gt;",Milestones!$F$11:$F$210,"&lt;&gt;Cancelled",Milestones!$F$11:$F$210,"&lt;&gt;Complete")&gt;0)</x:formula>
    </x:cfRule>
  </x:conditionalFormatting>
  <x:conditionalFormatting sqref="P35:P35">
    <x:cfRule type="expression" dxfId="1052" priority="881">
      <x:formula>AND(P35&lt;&gt;"",COUNTIFS(Milestones!$C$11:$C$210,P35,Milestones!$B$11:$B$210,"&lt;&gt;",Milestones!$F$11:$F$210,"&lt;&gt;Cancelled")&gt;0)</x:formula>
    </x:cfRule>
    <x:cfRule type="expression" dxfId="1053" priority="882">
      <x:formula>AND(P35&lt;&gt;"",P35&lt;Milestones!$F$5,COUNTIFS(Milestones!$C$11:$C$210,P35,Milestones!$B$11:$B$210,"&lt;&gt;",Milestones!$F$11:$F$210,"&lt;&gt;Cancelled",Milestones!$F$11:$F$210,"&lt;&gt;Complete")&gt;0)</x:formula>
    </x:cfRule>
  </x:conditionalFormatting>
  <x:conditionalFormatting sqref="J36:J36">
    <x:cfRule type="expression" dxfId="1054" priority="883">
      <x:formula>AND(J36&lt;&gt;"",COUNTIFS(Milestones!$C$11:$C$210,J36,Milestones!$B$11:$B$210,"&lt;&gt;",Milestones!$F$11:$F$210,"&lt;&gt;Cancelled")&gt;0)</x:formula>
    </x:cfRule>
    <x:cfRule type="expression" dxfId="1055" priority="884">
      <x:formula>AND(J36&lt;&gt;"",J36&lt;Milestones!$F$5,COUNTIFS(Milestones!$C$11:$C$210,J36,Milestones!$B$11:$B$210,"&lt;&gt;",Milestones!$F$11:$F$210,"&lt;&gt;Cancelled",Milestones!$F$11:$F$210,"&lt;&gt;Complete")&gt;0)</x:formula>
    </x:cfRule>
  </x:conditionalFormatting>
  <x:conditionalFormatting sqref="K36:K36">
    <x:cfRule type="expression" dxfId="1056" priority="885">
      <x:formula>AND(K36&lt;&gt;"",COUNTIFS(Milestones!$C$11:$C$210,K36,Milestones!$B$11:$B$210,"&lt;&gt;",Milestones!$F$11:$F$210,"&lt;&gt;Cancelled")&gt;0)</x:formula>
    </x:cfRule>
    <x:cfRule type="expression" dxfId="1057" priority="886">
      <x:formula>AND(K36&lt;&gt;"",K36&lt;Milestones!$F$5,COUNTIFS(Milestones!$C$11:$C$210,K36,Milestones!$B$11:$B$210,"&lt;&gt;",Milestones!$F$11:$F$210,"&lt;&gt;Cancelled",Milestones!$F$11:$F$210,"&lt;&gt;Complete")&gt;0)</x:formula>
    </x:cfRule>
  </x:conditionalFormatting>
  <x:conditionalFormatting sqref="L36:L36">
    <x:cfRule type="expression" dxfId="1058" priority="887">
      <x:formula>AND(L36&lt;&gt;"",COUNTIFS(Milestones!$C$11:$C$210,L36,Milestones!$B$11:$B$210,"&lt;&gt;",Milestones!$F$11:$F$210,"&lt;&gt;Cancelled")&gt;0)</x:formula>
    </x:cfRule>
    <x:cfRule type="expression" dxfId="1059" priority="888">
      <x:formula>AND(L36&lt;&gt;"",L36&lt;Milestones!$F$5,COUNTIFS(Milestones!$C$11:$C$210,L36,Milestones!$B$11:$B$210,"&lt;&gt;",Milestones!$F$11:$F$210,"&lt;&gt;Cancelled",Milestones!$F$11:$F$210,"&lt;&gt;Complete")&gt;0)</x:formula>
    </x:cfRule>
  </x:conditionalFormatting>
  <x:conditionalFormatting sqref="M36:M36">
    <x:cfRule type="expression" dxfId="1060" priority="889">
      <x:formula>AND(M36&lt;&gt;"",COUNTIFS(Milestones!$C$11:$C$210,M36,Milestones!$B$11:$B$210,"&lt;&gt;",Milestones!$F$11:$F$210,"&lt;&gt;Cancelled")&gt;0)</x:formula>
    </x:cfRule>
    <x:cfRule type="expression" dxfId="1061" priority="890">
      <x:formula>AND(M36&lt;&gt;"",M36&lt;Milestones!$F$5,COUNTIFS(Milestones!$C$11:$C$210,M36,Milestones!$B$11:$B$210,"&lt;&gt;",Milestones!$F$11:$F$210,"&lt;&gt;Cancelled",Milestones!$F$11:$F$210,"&lt;&gt;Complete")&gt;0)</x:formula>
    </x:cfRule>
  </x:conditionalFormatting>
  <x:conditionalFormatting sqref="N36:N36">
    <x:cfRule type="expression" dxfId="1062" priority="891">
      <x:formula>AND(N36&lt;&gt;"",COUNTIFS(Milestones!$C$11:$C$210,N36,Milestones!$B$11:$B$210,"&lt;&gt;",Milestones!$F$11:$F$210,"&lt;&gt;Cancelled")&gt;0)</x:formula>
    </x:cfRule>
    <x:cfRule type="expression" dxfId="1063" priority="892">
      <x:formula>AND(N36&lt;&gt;"",N36&lt;Milestones!$F$5,COUNTIFS(Milestones!$C$11:$C$210,N36,Milestones!$B$11:$B$210,"&lt;&gt;",Milestones!$F$11:$F$210,"&lt;&gt;Cancelled",Milestones!$F$11:$F$210,"&lt;&gt;Complete")&gt;0)</x:formula>
    </x:cfRule>
  </x:conditionalFormatting>
  <x:conditionalFormatting sqref="O36:O36">
    <x:cfRule type="expression" dxfId="1064" priority="893">
      <x:formula>AND(O36&lt;&gt;"",COUNTIFS(Milestones!$C$11:$C$210,O36,Milestones!$B$11:$B$210,"&lt;&gt;",Milestones!$F$11:$F$210,"&lt;&gt;Cancelled")&gt;0)</x:formula>
    </x:cfRule>
    <x:cfRule type="expression" dxfId="1065" priority="894">
      <x:formula>AND(O36&lt;&gt;"",O36&lt;Milestones!$F$5,COUNTIFS(Milestones!$C$11:$C$210,O36,Milestones!$B$11:$B$210,"&lt;&gt;",Milestones!$F$11:$F$210,"&lt;&gt;Cancelled",Milestones!$F$11:$F$210,"&lt;&gt;Complete")&gt;0)</x:formula>
    </x:cfRule>
  </x:conditionalFormatting>
  <x:conditionalFormatting sqref="P36:P36">
    <x:cfRule type="expression" dxfId="1066" priority="895">
      <x:formula>AND(P36&lt;&gt;"",COUNTIFS(Milestones!$C$11:$C$210,P36,Milestones!$B$11:$B$210,"&lt;&gt;",Milestones!$F$11:$F$210,"&lt;&gt;Cancelled")&gt;0)</x:formula>
    </x:cfRule>
    <x:cfRule type="expression" dxfId="1067" priority="896">
      <x:formula>AND(P36&lt;&gt;"",P36&lt;Milestones!$F$5,COUNTIFS(Milestones!$C$11:$C$210,P36,Milestones!$B$11:$B$210,"&lt;&gt;",Milestones!$F$11:$F$210,"&lt;&gt;Cancelled",Milestones!$F$11:$F$210,"&lt;&gt;Complete")&gt;0)</x:formula>
    </x:cfRule>
  </x:conditionalFormatting>
  <x:conditionalFormatting sqref="J37:J37">
    <x:cfRule type="expression" dxfId="1068" priority="897">
      <x:formula>AND(J37&lt;&gt;"",COUNTIFS(Milestones!$C$11:$C$210,J37,Milestones!$B$11:$B$210,"&lt;&gt;",Milestones!$F$11:$F$210,"&lt;&gt;Cancelled")&gt;0)</x:formula>
    </x:cfRule>
    <x:cfRule type="expression" dxfId="1069" priority="898">
      <x:formula>AND(J37&lt;&gt;"",J37&lt;Milestones!$F$5,COUNTIFS(Milestones!$C$11:$C$210,J37,Milestones!$B$11:$B$210,"&lt;&gt;",Milestones!$F$11:$F$210,"&lt;&gt;Cancelled",Milestones!$F$11:$F$210,"&lt;&gt;Complete")&gt;0)</x:formula>
    </x:cfRule>
  </x:conditionalFormatting>
  <x:conditionalFormatting sqref="K37:K37">
    <x:cfRule type="expression" dxfId="1070" priority="899">
      <x:formula>AND(K37&lt;&gt;"",COUNTIFS(Milestones!$C$11:$C$210,K37,Milestones!$B$11:$B$210,"&lt;&gt;",Milestones!$F$11:$F$210,"&lt;&gt;Cancelled")&gt;0)</x:formula>
    </x:cfRule>
    <x:cfRule type="expression" dxfId="1071" priority="900">
      <x:formula>AND(K37&lt;&gt;"",K37&lt;Milestones!$F$5,COUNTIFS(Milestones!$C$11:$C$210,K37,Milestones!$B$11:$B$210,"&lt;&gt;",Milestones!$F$11:$F$210,"&lt;&gt;Cancelled",Milestones!$F$11:$F$210,"&lt;&gt;Complete")&gt;0)</x:formula>
    </x:cfRule>
  </x:conditionalFormatting>
  <x:conditionalFormatting sqref="L37:L37">
    <x:cfRule type="expression" dxfId="1072" priority="901">
      <x:formula>AND(L37&lt;&gt;"",COUNTIFS(Milestones!$C$11:$C$210,L37,Milestones!$B$11:$B$210,"&lt;&gt;",Milestones!$F$11:$F$210,"&lt;&gt;Cancelled")&gt;0)</x:formula>
    </x:cfRule>
    <x:cfRule type="expression" dxfId="1073" priority="902">
      <x:formula>AND(L37&lt;&gt;"",L37&lt;Milestones!$F$5,COUNTIFS(Milestones!$C$11:$C$210,L37,Milestones!$B$11:$B$210,"&lt;&gt;",Milestones!$F$11:$F$210,"&lt;&gt;Cancelled",Milestones!$F$11:$F$210,"&lt;&gt;Complete")&gt;0)</x:formula>
    </x:cfRule>
  </x:conditionalFormatting>
  <x:conditionalFormatting sqref="M37:M37">
    <x:cfRule type="expression" dxfId="1074" priority="903">
      <x:formula>AND(M37&lt;&gt;"",COUNTIFS(Milestones!$C$11:$C$210,M37,Milestones!$B$11:$B$210,"&lt;&gt;",Milestones!$F$11:$F$210,"&lt;&gt;Cancelled")&gt;0)</x:formula>
    </x:cfRule>
    <x:cfRule type="expression" dxfId="1075" priority="904">
      <x:formula>AND(M37&lt;&gt;"",M37&lt;Milestones!$F$5,COUNTIFS(Milestones!$C$11:$C$210,M37,Milestones!$B$11:$B$210,"&lt;&gt;",Milestones!$F$11:$F$210,"&lt;&gt;Cancelled",Milestones!$F$11:$F$210,"&lt;&gt;Complete")&gt;0)</x:formula>
    </x:cfRule>
  </x:conditionalFormatting>
  <x:conditionalFormatting sqref="N37:N37">
    <x:cfRule type="expression" dxfId="1076" priority="905">
      <x:formula>AND(N37&lt;&gt;"",COUNTIFS(Milestones!$C$11:$C$210,N37,Milestones!$B$11:$B$210,"&lt;&gt;",Milestones!$F$11:$F$210,"&lt;&gt;Cancelled")&gt;0)</x:formula>
    </x:cfRule>
    <x:cfRule type="expression" dxfId="1077" priority="906">
      <x:formula>AND(N37&lt;&gt;"",N37&lt;Milestones!$F$5,COUNTIFS(Milestones!$C$11:$C$210,N37,Milestones!$B$11:$B$210,"&lt;&gt;",Milestones!$F$11:$F$210,"&lt;&gt;Cancelled",Milestones!$F$11:$F$210,"&lt;&gt;Complete")&gt;0)</x:formula>
    </x:cfRule>
  </x:conditionalFormatting>
  <x:conditionalFormatting sqref="O37:O37">
    <x:cfRule type="expression" dxfId="1078" priority="907">
      <x:formula>AND(O37&lt;&gt;"",COUNTIFS(Milestones!$C$11:$C$210,O37,Milestones!$B$11:$B$210,"&lt;&gt;",Milestones!$F$11:$F$210,"&lt;&gt;Cancelled")&gt;0)</x:formula>
    </x:cfRule>
    <x:cfRule type="expression" dxfId="1079" priority="908">
      <x:formula>AND(O37&lt;&gt;"",O37&lt;Milestones!$F$5,COUNTIFS(Milestones!$C$11:$C$210,O37,Milestones!$B$11:$B$210,"&lt;&gt;",Milestones!$F$11:$F$210,"&lt;&gt;Cancelled",Milestones!$F$11:$F$210,"&lt;&gt;Complete")&gt;0)</x:formula>
    </x:cfRule>
  </x:conditionalFormatting>
  <x:conditionalFormatting sqref="P37:P37">
    <x:cfRule type="expression" dxfId="1080" priority="909">
      <x:formula>AND(P37&lt;&gt;"",COUNTIFS(Milestones!$C$11:$C$210,P37,Milestones!$B$11:$B$210,"&lt;&gt;",Milestones!$F$11:$F$210,"&lt;&gt;Cancelled")&gt;0)</x:formula>
    </x:cfRule>
    <x:cfRule type="expression" dxfId="1081" priority="910">
      <x:formula>AND(P37&lt;&gt;"",P37&lt;Milestones!$F$5,COUNTIFS(Milestones!$C$11:$C$210,P37,Milestones!$B$11:$B$210,"&lt;&gt;",Milestones!$F$11:$F$210,"&lt;&gt;Cancelled",Milestones!$F$11:$F$210,"&lt;&gt;Complete")&gt;0)</x:formula>
    </x:cfRule>
  </x:conditionalFormatting>
  <x:conditionalFormatting sqref="J38:J38">
    <x:cfRule type="expression" dxfId="1082" priority="911">
      <x:formula>AND(J38&lt;&gt;"",COUNTIFS(Milestones!$C$11:$C$210,J38,Milestones!$B$11:$B$210,"&lt;&gt;",Milestones!$F$11:$F$210,"&lt;&gt;Cancelled")&gt;0)</x:formula>
    </x:cfRule>
    <x:cfRule type="expression" dxfId="1083" priority="912">
      <x:formula>AND(J38&lt;&gt;"",J38&lt;Milestones!$F$5,COUNTIFS(Milestones!$C$11:$C$210,J38,Milestones!$B$11:$B$210,"&lt;&gt;",Milestones!$F$11:$F$210,"&lt;&gt;Cancelled",Milestones!$F$11:$F$210,"&lt;&gt;Complete")&gt;0)</x:formula>
    </x:cfRule>
  </x:conditionalFormatting>
  <x:conditionalFormatting sqref="K38:K38">
    <x:cfRule type="expression" dxfId="1084" priority="913">
      <x:formula>AND(K38&lt;&gt;"",COUNTIFS(Milestones!$C$11:$C$210,K38,Milestones!$B$11:$B$210,"&lt;&gt;",Milestones!$F$11:$F$210,"&lt;&gt;Cancelled")&gt;0)</x:formula>
    </x:cfRule>
    <x:cfRule type="expression" dxfId="1085" priority="914">
      <x:formula>AND(K38&lt;&gt;"",K38&lt;Milestones!$F$5,COUNTIFS(Milestones!$C$11:$C$210,K38,Milestones!$B$11:$B$210,"&lt;&gt;",Milestones!$F$11:$F$210,"&lt;&gt;Cancelled",Milestones!$F$11:$F$210,"&lt;&gt;Complete")&gt;0)</x:formula>
    </x:cfRule>
  </x:conditionalFormatting>
  <x:conditionalFormatting sqref="L38:L38">
    <x:cfRule type="expression" dxfId="1086" priority="915">
      <x:formula>AND(L38&lt;&gt;"",COUNTIFS(Milestones!$C$11:$C$210,L38,Milestones!$B$11:$B$210,"&lt;&gt;",Milestones!$F$11:$F$210,"&lt;&gt;Cancelled")&gt;0)</x:formula>
    </x:cfRule>
    <x:cfRule type="expression" dxfId="1087" priority="916">
      <x:formula>AND(L38&lt;&gt;"",L38&lt;Milestones!$F$5,COUNTIFS(Milestones!$C$11:$C$210,L38,Milestones!$B$11:$B$210,"&lt;&gt;",Milestones!$F$11:$F$210,"&lt;&gt;Cancelled",Milestones!$F$11:$F$210,"&lt;&gt;Complete")&gt;0)</x:formula>
    </x:cfRule>
  </x:conditionalFormatting>
  <x:conditionalFormatting sqref="M38:M38">
    <x:cfRule type="expression" dxfId="1088" priority="917">
      <x:formula>AND(M38&lt;&gt;"",COUNTIFS(Milestones!$C$11:$C$210,M38,Milestones!$B$11:$B$210,"&lt;&gt;",Milestones!$F$11:$F$210,"&lt;&gt;Cancelled")&gt;0)</x:formula>
    </x:cfRule>
    <x:cfRule type="expression" dxfId="1089" priority="918">
      <x:formula>AND(M38&lt;&gt;"",M38&lt;Milestones!$F$5,COUNTIFS(Milestones!$C$11:$C$210,M38,Milestones!$B$11:$B$210,"&lt;&gt;",Milestones!$F$11:$F$210,"&lt;&gt;Cancelled",Milestones!$F$11:$F$210,"&lt;&gt;Complete")&gt;0)</x:formula>
    </x:cfRule>
  </x:conditionalFormatting>
  <x:conditionalFormatting sqref="N38:N38">
    <x:cfRule type="expression" dxfId="1090" priority="919">
      <x:formula>AND(N38&lt;&gt;"",COUNTIFS(Milestones!$C$11:$C$210,N38,Milestones!$B$11:$B$210,"&lt;&gt;",Milestones!$F$11:$F$210,"&lt;&gt;Cancelled")&gt;0)</x:formula>
    </x:cfRule>
    <x:cfRule type="expression" dxfId="1091" priority="920">
      <x:formula>AND(N38&lt;&gt;"",N38&lt;Milestones!$F$5,COUNTIFS(Milestones!$C$11:$C$210,N38,Milestones!$B$11:$B$210,"&lt;&gt;",Milestones!$F$11:$F$210,"&lt;&gt;Cancelled",Milestones!$F$11:$F$210,"&lt;&gt;Complete")&gt;0)</x:formula>
    </x:cfRule>
  </x:conditionalFormatting>
  <x:conditionalFormatting sqref="O38:O38">
    <x:cfRule type="expression" dxfId="1092" priority="921">
      <x:formula>AND(O38&lt;&gt;"",COUNTIFS(Milestones!$C$11:$C$210,O38,Milestones!$B$11:$B$210,"&lt;&gt;",Milestones!$F$11:$F$210,"&lt;&gt;Cancelled")&gt;0)</x:formula>
    </x:cfRule>
    <x:cfRule type="expression" dxfId="1093" priority="922">
      <x:formula>AND(O38&lt;&gt;"",O38&lt;Milestones!$F$5,COUNTIFS(Milestones!$C$11:$C$210,O38,Milestones!$B$11:$B$210,"&lt;&gt;",Milestones!$F$11:$F$210,"&lt;&gt;Cancelled",Milestones!$F$11:$F$210,"&lt;&gt;Complete")&gt;0)</x:formula>
    </x:cfRule>
  </x:conditionalFormatting>
  <x:conditionalFormatting sqref="P38:P38">
    <x:cfRule type="expression" dxfId="1094" priority="923">
      <x:formula>AND(P38&lt;&gt;"",COUNTIFS(Milestones!$C$11:$C$210,P38,Milestones!$B$11:$B$210,"&lt;&gt;",Milestones!$F$11:$F$210,"&lt;&gt;Cancelled")&gt;0)</x:formula>
    </x:cfRule>
    <x:cfRule type="expression" dxfId="1095" priority="924">
      <x:formula>AND(P38&lt;&gt;"",P38&lt;Milestones!$F$5,COUNTIFS(Milestones!$C$11:$C$210,P38,Milestones!$B$11:$B$210,"&lt;&gt;",Milestones!$F$11:$F$210,"&lt;&gt;Cancelled",Milestones!$F$11:$F$210,"&lt;&gt;Complete")&gt;0)</x:formula>
    </x:cfRule>
  </x:conditionalFormatting>
  <x:conditionalFormatting sqref="R33:R33">
    <x:cfRule type="expression" dxfId="1096" priority="925">
      <x:formula>AND(R33&lt;&gt;"",COUNTIFS(Milestones!$C$11:$C$210,R33,Milestones!$B$11:$B$210,"&lt;&gt;",Milestones!$F$11:$F$210,"&lt;&gt;Cancelled")&gt;0)</x:formula>
    </x:cfRule>
    <x:cfRule type="expression" dxfId="1097" priority="926">
      <x:formula>AND(R33&lt;&gt;"",R33&lt;Milestones!$F$5,COUNTIFS(Milestones!$C$11:$C$210,R33,Milestones!$B$11:$B$210,"&lt;&gt;",Milestones!$F$11:$F$210,"&lt;&gt;Cancelled",Milestones!$F$11:$F$210,"&lt;&gt;Complete")&gt;0)</x:formula>
    </x:cfRule>
  </x:conditionalFormatting>
  <x:conditionalFormatting sqref="S33:S33">
    <x:cfRule type="expression" dxfId="1098" priority="927">
      <x:formula>AND(S33&lt;&gt;"",COUNTIFS(Milestones!$C$11:$C$210,S33,Milestones!$B$11:$B$210,"&lt;&gt;",Milestones!$F$11:$F$210,"&lt;&gt;Cancelled")&gt;0)</x:formula>
    </x:cfRule>
    <x:cfRule type="expression" dxfId="1099" priority="928">
      <x:formula>AND(S33&lt;&gt;"",S33&lt;Milestones!$F$5,COUNTIFS(Milestones!$C$11:$C$210,S33,Milestones!$B$11:$B$210,"&lt;&gt;",Milestones!$F$11:$F$210,"&lt;&gt;Cancelled",Milestones!$F$11:$F$210,"&lt;&gt;Complete")&gt;0)</x:formula>
    </x:cfRule>
  </x:conditionalFormatting>
  <x:conditionalFormatting sqref="T33:T33">
    <x:cfRule type="expression" dxfId="1100" priority="929">
      <x:formula>AND(T33&lt;&gt;"",COUNTIFS(Milestones!$C$11:$C$210,T33,Milestones!$B$11:$B$210,"&lt;&gt;",Milestones!$F$11:$F$210,"&lt;&gt;Cancelled")&gt;0)</x:formula>
    </x:cfRule>
    <x:cfRule type="expression" dxfId="1101" priority="930">
      <x:formula>AND(T33&lt;&gt;"",T33&lt;Milestones!$F$5,COUNTIFS(Milestones!$C$11:$C$210,T33,Milestones!$B$11:$B$210,"&lt;&gt;",Milestones!$F$11:$F$210,"&lt;&gt;Cancelled",Milestones!$F$11:$F$210,"&lt;&gt;Complete")&gt;0)</x:formula>
    </x:cfRule>
  </x:conditionalFormatting>
  <x:conditionalFormatting sqref="U33:U33">
    <x:cfRule type="expression" dxfId="1102" priority="931">
      <x:formula>AND(U33&lt;&gt;"",COUNTIFS(Milestones!$C$11:$C$210,U33,Milestones!$B$11:$B$210,"&lt;&gt;",Milestones!$F$11:$F$210,"&lt;&gt;Cancelled")&gt;0)</x:formula>
    </x:cfRule>
    <x:cfRule type="expression" dxfId="1103" priority="932">
      <x:formula>AND(U33&lt;&gt;"",U33&lt;Milestones!$F$5,COUNTIFS(Milestones!$C$11:$C$210,U33,Milestones!$B$11:$B$210,"&lt;&gt;",Milestones!$F$11:$F$210,"&lt;&gt;Cancelled",Milestones!$F$11:$F$210,"&lt;&gt;Complete")&gt;0)</x:formula>
    </x:cfRule>
  </x:conditionalFormatting>
  <x:conditionalFormatting sqref="V33:V33">
    <x:cfRule type="expression" dxfId="1104" priority="933">
      <x:formula>AND(V33&lt;&gt;"",COUNTIFS(Milestones!$C$11:$C$210,V33,Milestones!$B$11:$B$210,"&lt;&gt;",Milestones!$F$11:$F$210,"&lt;&gt;Cancelled")&gt;0)</x:formula>
    </x:cfRule>
    <x:cfRule type="expression" dxfId="1105" priority="934">
      <x:formula>AND(V33&lt;&gt;"",V33&lt;Milestones!$F$5,COUNTIFS(Milestones!$C$11:$C$210,V33,Milestones!$B$11:$B$210,"&lt;&gt;",Milestones!$F$11:$F$210,"&lt;&gt;Cancelled",Milestones!$F$11:$F$210,"&lt;&gt;Complete")&gt;0)</x:formula>
    </x:cfRule>
  </x:conditionalFormatting>
  <x:conditionalFormatting sqref="W33:W33">
    <x:cfRule type="expression" dxfId="1106" priority="935">
      <x:formula>AND(W33&lt;&gt;"",COUNTIFS(Milestones!$C$11:$C$210,W33,Milestones!$B$11:$B$210,"&lt;&gt;",Milestones!$F$11:$F$210,"&lt;&gt;Cancelled")&gt;0)</x:formula>
    </x:cfRule>
    <x:cfRule type="expression" dxfId="1107" priority="936">
      <x:formula>AND(W33&lt;&gt;"",W33&lt;Milestones!$F$5,COUNTIFS(Milestones!$C$11:$C$210,W33,Milestones!$B$11:$B$210,"&lt;&gt;",Milestones!$F$11:$F$210,"&lt;&gt;Cancelled",Milestones!$F$11:$F$210,"&lt;&gt;Complete")&gt;0)</x:formula>
    </x:cfRule>
  </x:conditionalFormatting>
  <x:conditionalFormatting sqref="X33:X33">
    <x:cfRule type="expression" dxfId="1108" priority="937">
      <x:formula>AND(X33&lt;&gt;"",COUNTIFS(Milestones!$C$11:$C$210,X33,Milestones!$B$11:$B$210,"&lt;&gt;",Milestones!$F$11:$F$210,"&lt;&gt;Cancelled")&gt;0)</x:formula>
    </x:cfRule>
    <x:cfRule type="expression" dxfId="1109" priority="938">
      <x:formula>AND(X33&lt;&gt;"",X33&lt;Milestones!$F$5,COUNTIFS(Milestones!$C$11:$C$210,X33,Milestones!$B$11:$B$210,"&lt;&gt;",Milestones!$F$11:$F$210,"&lt;&gt;Cancelled",Milestones!$F$11:$F$210,"&lt;&gt;Complete")&gt;0)</x:formula>
    </x:cfRule>
  </x:conditionalFormatting>
  <x:conditionalFormatting sqref="R34:R34">
    <x:cfRule type="expression" dxfId="1110" priority="939">
      <x:formula>AND(R34&lt;&gt;"",COUNTIFS(Milestones!$C$11:$C$210,R34,Milestones!$B$11:$B$210,"&lt;&gt;",Milestones!$F$11:$F$210,"&lt;&gt;Cancelled")&gt;0)</x:formula>
    </x:cfRule>
    <x:cfRule type="expression" dxfId="1111" priority="940">
      <x:formula>AND(R34&lt;&gt;"",R34&lt;Milestones!$F$5,COUNTIFS(Milestones!$C$11:$C$210,R34,Milestones!$B$11:$B$210,"&lt;&gt;",Milestones!$F$11:$F$210,"&lt;&gt;Cancelled",Milestones!$F$11:$F$210,"&lt;&gt;Complete")&gt;0)</x:formula>
    </x:cfRule>
  </x:conditionalFormatting>
  <x:conditionalFormatting sqref="S34:S34">
    <x:cfRule type="expression" dxfId="1112" priority="941">
      <x:formula>AND(S34&lt;&gt;"",COUNTIFS(Milestones!$C$11:$C$210,S34,Milestones!$B$11:$B$210,"&lt;&gt;",Milestones!$F$11:$F$210,"&lt;&gt;Cancelled")&gt;0)</x:formula>
    </x:cfRule>
    <x:cfRule type="expression" dxfId="1113" priority="942">
      <x:formula>AND(S34&lt;&gt;"",S34&lt;Milestones!$F$5,COUNTIFS(Milestones!$C$11:$C$210,S34,Milestones!$B$11:$B$210,"&lt;&gt;",Milestones!$F$11:$F$210,"&lt;&gt;Cancelled",Milestones!$F$11:$F$210,"&lt;&gt;Complete")&gt;0)</x:formula>
    </x:cfRule>
  </x:conditionalFormatting>
  <x:conditionalFormatting sqref="T34:T34">
    <x:cfRule type="expression" dxfId="1114" priority="943">
      <x:formula>AND(T34&lt;&gt;"",COUNTIFS(Milestones!$C$11:$C$210,T34,Milestones!$B$11:$B$210,"&lt;&gt;",Milestones!$F$11:$F$210,"&lt;&gt;Cancelled")&gt;0)</x:formula>
    </x:cfRule>
    <x:cfRule type="expression" dxfId="1115" priority="944">
      <x:formula>AND(T34&lt;&gt;"",T34&lt;Milestones!$F$5,COUNTIFS(Milestones!$C$11:$C$210,T34,Milestones!$B$11:$B$210,"&lt;&gt;",Milestones!$F$11:$F$210,"&lt;&gt;Cancelled",Milestones!$F$11:$F$210,"&lt;&gt;Complete")&gt;0)</x:formula>
    </x:cfRule>
  </x:conditionalFormatting>
  <x:conditionalFormatting sqref="U34:U34">
    <x:cfRule type="expression" dxfId="1116" priority="945">
      <x:formula>AND(U34&lt;&gt;"",COUNTIFS(Milestones!$C$11:$C$210,U34,Milestones!$B$11:$B$210,"&lt;&gt;",Milestones!$F$11:$F$210,"&lt;&gt;Cancelled")&gt;0)</x:formula>
    </x:cfRule>
    <x:cfRule type="expression" dxfId="1117" priority="946">
      <x:formula>AND(U34&lt;&gt;"",U34&lt;Milestones!$F$5,COUNTIFS(Milestones!$C$11:$C$210,U34,Milestones!$B$11:$B$210,"&lt;&gt;",Milestones!$F$11:$F$210,"&lt;&gt;Cancelled",Milestones!$F$11:$F$210,"&lt;&gt;Complete")&gt;0)</x:formula>
    </x:cfRule>
  </x:conditionalFormatting>
  <x:conditionalFormatting sqref="V34:V34">
    <x:cfRule type="expression" dxfId="1118" priority="947">
      <x:formula>AND(V34&lt;&gt;"",COUNTIFS(Milestones!$C$11:$C$210,V34,Milestones!$B$11:$B$210,"&lt;&gt;",Milestones!$F$11:$F$210,"&lt;&gt;Cancelled")&gt;0)</x:formula>
    </x:cfRule>
    <x:cfRule type="expression" dxfId="1119" priority="948">
      <x:formula>AND(V34&lt;&gt;"",V34&lt;Milestones!$F$5,COUNTIFS(Milestones!$C$11:$C$210,V34,Milestones!$B$11:$B$210,"&lt;&gt;",Milestones!$F$11:$F$210,"&lt;&gt;Cancelled",Milestones!$F$11:$F$210,"&lt;&gt;Complete")&gt;0)</x:formula>
    </x:cfRule>
  </x:conditionalFormatting>
  <x:conditionalFormatting sqref="W34:W34">
    <x:cfRule type="expression" dxfId="1120" priority="949">
      <x:formula>AND(W34&lt;&gt;"",COUNTIFS(Milestones!$C$11:$C$210,W34,Milestones!$B$11:$B$210,"&lt;&gt;",Milestones!$F$11:$F$210,"&lt;&gt;Cancelled")&gt;0)</x:formula>
    </x:cfRule>
    <x:cfRule type="expression" dxfId="1121" priority="950">
      <x:formula>AND(W34&lt;&gt;"",W34&lt;Milestones!$F$5,COUNTIFS(Milestones!$C$11:$C$210,W34,Milestones!$B$11:$B$210,"&lt;&gt;",Milestones!$F$11:$F$210,"&lt;&gt;Cancelled",Milestones!$F$11:$F$210,"&lt;&gt;Complete")&gt;0)</x:formula>
    </x:cfRule>
  </x:conditionalFormatting>
  <x:conditionalFormatting sqref="X34:X34">
    <x:cfRule type="expression" dxfId="1122" priority="951">
      <x:formula>AND(X34&lt;&gt;"",COUNTIFS(Milestones!$C$11:$C$210,X34,Milestones!$B$11:$B$210,"&lt;&gt;",Milestones!$F$11:$F$210,"&lt;&gt;Cancelled")&gt;0)</x:formula>
    </x:cfRule>
    <x:cfRule type="expression" dxfId="1123" priority="952">
      <x:formula>AND(X34&lt;&gt;"",X34&lt;Milestones!$F$5,COUNTIFS(Milestones!$C$11:$C$210,X34,Milestones!$B$11:$B$210,"&lt;&gt;",Milestones!$F$11:$F$210,"&lt;&gt;Cancelled",Milestones!$F$11:$F$210,"&lt;&gt;Complete")&gt;0)</x:formula>
    </x:cfRule>
  </x:conditionalFormatting>
  <x:conditionalFormatting sqref="R35:R35">
    <x:cfRule type="expression" dxfId="1124" priority="953">
      <x:formula>AND(R35&lt;&gt;"",COUNTIFS(Milestones!$C$11:$C$210,R35,Milestones!$B$11:$B$210,"&lt;&gt;",Milestones!$F$11:$F$210,"&lt;&gt;Cancelled")&gt;0)</x:formula>
    </x:cfRule>
    <x:cfRule type="expression" dxfId="1125" priority="954">
      <x:formula>AND(R35&lt;&gt;"",R35&lt;Milestones!$F$5,COUNTIFS(Milestones!$C$11:$C$210,R35,Milestones!$B$11:$B$210,"&lt;&gt;",Milestones!$F$11:$F$210,"&lt;&gt;Cancelled",Milestones!$F$11:$F$210,"&lt;&gt;Complete")&gt;0)</x:formula>
    </x:cfRule>
  </x:conditionalFormatting>
  <x:conditionalFormatting sqref="S35:S35">
    <x:cfRule type="expression" dxfId="1126" priority="955">
      <x:formula>AND(S35&lt;&gt;"",COUNTIFS(Milestones!$C$11:$C$210,S35,Milestones!$B$11:$B$210,"&lt;&gt;",Milestones!$F$11:$F$210,"&lt;&gt;Cancelled")&gt;0)</x:formula>
    </x:cfRule>
    <x:cfRule type="expression" dxfId="1127" priority="956">
      <x:formula>AND(S35&lt;&gt;"",S35&lt;Milestones!$F$5,COUNTIFS(Milestones!$C$11:$C$210,S35,Milestones!$B$11:$B$210,"&lt;&gt;",Milestones!$F$11:$F$210,"&lt;&gt;Cancelled",Milestones!$F$11:$F$210,"&lt;&gt;Complete")&gt;0)</x:formula>
    </x:cfRule>
  </x:conditionalFormatting>
  <x:conditionalFormatting sqref="T35:T35">
    <x:cfRule type="expression" dxfId="1128" priority="957">
      <x:formula>AND(T35&lt;&gt;"",COUNTIFS(Milestones!$C$11:$C$210,T35,Milestones!$B$11:$B$210,"&lt;&gt;",Milestones!$F$11:$F$210,"&lt;&gt;Cancelled")&gt;0)</x:formula>
    </x:cfRule>
    <x:cfRule type="expression" dxfId="1129" priority="958">
      <x:formula>AND(T35&lt;&gt;"",T35&lt;Milestones!$F$5,COUNTIFS(Milestones!$C$11:$C$210,T35,Milestones!$B$11:$B$210,"&lt;&gt;",Milestones!$F$11:$F$210,"&lt;&gt;Cancelled",Milestones!$F$11:$F$210,"&lt;&gt;Complete")&gt;0)</x:formula>
    </x:cfRule>
  </x:conditionalFormatting>
  <x:conditionalFormatting sqref="U35:U35">
    <x:cfRule type="expression" dxfId="1130" priority="959">
      <x:formula>AND(U35&lt;&gt;"",COUNTIFS(Milestones!$C$11:$C$210,U35,Milestones!$B$11:$B$210,"&lt;&gt;",Milestones!$F$11:$F$210,"&lt;&gt;Cancelled")&gt;0)</x:formula>
    </x:cfRule>
    <x:cfRule type="expression" dxfId="1131" priority="960">
      <x:formula>AND(U35&lt;&gt;"",U35&lt;Milestones!$F$5,COUNTIFS(Milestones!$C$11:$C$210,U35,Milestones!$B$11:$B$210,"&lt;&gt;",Milestones!$F$11:$F$210,"&lt;&gt;Cancelled",Milestones!$F$11:$F$210,"&lt;&gt;Complete")&gt;0)</x:formula>
    </x:cfRule>
  </x:conditionalFormatting>
  <x:conditionalFormatting sqref="V35:V35">
    <x:cfRule type="expression" dxfId="1132" priority="961">
      <x:formula>AND(V35&lt;&gt;"",COUNTIFS(Milestones!$C$11:$C$210,V35,Milestones!$B$11:$B$210,"&lt;&gt;",Milestones!$F$11:$F$210,"&lt;&gt;Cancelled")&gt;0)</x:formula>
    </x:cfRule>
    <x:cfRule type="expression" dxfId="1133" priority="962">
      <x:formula>AND(V35&lt;&gt;"",V35&lt;Milestones!$F$5,COUNTIFS(Milestones!$C$11:$C$210,V35,Milestones!$B$11:$B$210,"&lt;&gt;",Milestones!$F$11:$F$210,"&lt;&gt;Cancelled",Milestones!$F$11:$F$210,"&lt;&gt;Complete")&gt;0)</x:formula>
    </x:cfRule>
  </x:conditionalFormatting>
  <x:conditionalFormatting sqref="W35:W35">
    <x:cfRule type="expression" dxfId="1134" priority="963">
      <x:formula>AND(W35&lt;&gt;"",COUNTIFS(Milestones!$C$11:$C$210,W35,Milestones!$B$11:$B$210,"&lt;&gt;",Milestones!$F$11:$F$210,"&lt;&gt;Cancelled")&gt;0)</x:formula>
    </x:cfRule>
    <x:cfRule type="expression" dxfId="1135" priority="964">
      <x:formula>AND(W35&lt;&gt;"",W35&lt;Milestones!$F$5,COUNTIFS(Milestones!$C$11:$C$210,W35,Milestones!$B$11:$B$210,"&lt;&gt;",Milestones!$F$11:$F$210,"&lt;&gt;Cancelled",Milestones!$F$11:$F$210,"&lt;&gt;Complete")&gt;0)</x:formula>
    </x:cfRule>
  </x:conditionalFormatting>
  <x:conditionalFormatting sqref="X35:X35">
    <x:cfRule type="expression" dxfId="1136" priority="965">
      <x:formula>AND(X35&lt;&gt;"",COUNTIFS(Milestones!$C$11:$C$210,X35,Milestones!$B$11:$B$210,"&lt;&gt;",Milestones!$F$11:$F$210,"&lt;&gt;Cancelled")&gt;0)</x:formula>
    </x:cfRule>
    <x:cfRule type="expression" dxfId="1137" priority="966">
      <x:formula>AND(X35&lt;&gt;"",X35&lt;Milestones!$F$5,COUNTIFS(Milestones!$C$11:$C$210,X35,Milestones!$B$11:$B$210,"&lt;&gt;",Milestones!$F$11:$F$210,"&lt;&gt;Cancelled",Milestones!$F$11:$F$210,"&lt;&gt;Complete")&gt;0)</x:formula>
    </x:cfRule>
  </x:conditionalFormatting>
  <x:conditionalFormatting sqref="R36:R36">
    <x:cfRule type="expression" dxfId="1138" priority="967">
      <x:formula>AND(R36&lt;&gt;"",COUNTIFS(Milestones!$C$11:$C$210,R36,Milestones!$B$11:$B$210,"&lt;&gt;",Milestones!$F$11:$F$210,"&lt;&gt;Cancelled")&gt;0)</x:formula>
    </x:cfRule>
    <x:cfRule type="expression" dxfId="1139" priority="968">
      <x:formula>AND(R36&lt;&gt;"",R36&lt;Milestones!$F$5,COUNTIFS(Milestones!$C$11:$C$210,R36,Milestones!$B$11:$B$210,"&lt;&gt;",Milestones!$F$11:$F$210,"&lt;&gt;Cancelled",Milestones!$F$11:$F$210,"&lt;&gt;Complete")&gt;0)</x:formula>
    </x:cfRule>
  </x:conditionalFormatting>
  <x:conditionalFormatting sqref="S36:S36">
    <x:cfRule type="expression" dxfId="1140" priority="969">
      <x:formula>AND(S36&lt;&gt;"",COUNTIFS(Milestones!$C$11:$C$210,S36,Milestones!$B$11:$B$210,"&lt;&gt;",Milestones!$F$11:$F$210,"&lt;&gt;Cancelled")&gt;0)</x:formula>
    </x:cfRule>
    <x:cfRule type="expression" dxfId="1141" priority="970">
      <x:formula>AND(S36&lt;&gt;"",S36&lt;Milestones!$F$5,COUNTIFS(Milestones!$C$11:$C$210,S36,Milestones!$B$11:$B$210,"&lt;&gt;",Milestones!$F$11:$F$210,"&lt;&gt;Cancelled",Milestones!$F$11:$F$210,"&lt;&gt;Complete")&gt;0)</x:formula>
    </x:cfRule>
  </x:conditionalFormatting>
  <x:conditionalFormatting sqref="T36:T36">
    <x:cfRule type="expression" dxfId="1142" priority="971">
      <x:formula>AND(T36&lt;&gt;"",COUNTIFS(Milestones!$C$11:$C$210,T36,Milestones!$B$11:$B$210,"&lt;&gt;",Milestones!$F$11:$F$210,"&lt;&gt;Cancelled")&gt;0)</x:formula>
    </x:cfRule>
    <x:cfRule type="expression" dxfId="1143" priority="972">
      <x:formula>AND(T36&lt;&gt;"",T36&lt;Milestones!$F$5,COUNTIFS(Milestones!$C$11:$C$210,T36,Milestones!$B$11:$B$210,"&lt;&gt;",Milestones!$F$11:$F$210,"&lt;&gt;Cancelled",Milestones!$F$11:$F$210,"&lt;&gt;Complete")&gt;0)</x:formula>
    </x:cfRule>
  </x:conditionalFormatting>
  <x:conditionalFormatting sqref="U36:U36">
    <x:cfRule type="expression" dxfId="1144" priority="973">
      <x:formula>AND(U36&lt;&gt;"",COUNTIFS(Milestones!$C$11:$C$210,U36,Milestones!$B$11:$B$210,"&lt;&gt;",Milestones!$F$11:$F$210,"&lt;&gt;Cancelled")&gt;0)</x:formula>
    </x:cfRule>
    <x:cfRule type="expression" dxfId="1145" priority="974">
      <x:formula>AND(U36&lt;&gt;"",U36&lt;Milestones!$F$5,COUNTIFS(Milestones!$C$11:$C$210,U36,Milestones!$B$11:$B$210,"&lt;&gt;",Milestones!$F$11:$F$210,"&lt;&gt;Cancelled",Milestones!$F$11:$F$210,"&lt;&gt;Complete")&gt;0)</x:formula>
    </x:cfRule>
  </x:conditionalFormatting>
  <x:conditionalFormatting sqref="V36:V36">
    <x:cfRule type="expression" dxfId="1146" priority="975">
      <x:formula>AND(V36&lt;&gt;"",COUNTIFS(Milestones!$C$11:$C$210,V36,Milestones!$B$11:$B$210,"&lt;&gt;",Milestones!$F$11:$F$210,"&lt;&gt;Cancelled")&gt;0)</x:formula>
    </x:cfRule>
    <x:cfRule type="expression" dxfId="1147" priority="976">
      <x:formula>AND(V36&lt;&gt;"",V36&lt;Milestones!$F$5,COUNTIFS(Milestones!$C$11:$C$210,V36,Milestones!$B$11:$B$210,"&lt;&gt;",Milestones!$F$11:$F$210,"&lt;&gt;Cancelled",Milestones!$F$11:$F$210,"&lt;&gt;Complete")&gt;0)</x:formula>
    </x:cfRule>
  </x:conditionalFormatting>
  <x:conditionalFormatting sqref="W36:W36">
    <x:cfRule type="expression" dxfId="1148" priority="977">
      <x:formula>AND(W36&lt;&gt;"",COUNTIFS(Milestones!$C$11:$C$210,W36,Milestones!$B$11:$B$210,"&lt;&gt;",Milestones!$F$11:$F$210,"&lt;&gt;Cancelled")&gt;0)</x:formula>
    </x:cfRule>
    <x:cfRule type="expression" dxfId="1149" priority="978">
      <x:formula>AND(W36&lt;&gt;"",W36&lt;Milestones!$F$5,COUNTIFS(Milestones!$C$11:$C$210,W36,Milestones!$B$11:$B$210,"&lt;&gt;",Milestones!$F$11:$F$210,"&lt;&gt;Cancelled",Milestones!$F$11:$F$210,"&lt;&gt;Complete")&gt;0)</x:formula>
    </x:cfRule>
  </x:conditionalFormatting>
  <x:conditionalFormatting sqref="X36:X36">
    <x:cfRule type="expression" dxfId="1150" priority="979">
      <x:formula>AND(X36&lt;&gt;"",COUNTIFS(Milestones!$C$11:$C$210,X36,Milestones!$B$11:$B$210,"&lt;&gt;",Milestones!$F$11:$F$210,"&lt;&gt;Cancelled")&gt;0)</x:formula>
    </x:cfRule>
    <x:cfRule type="expression" dxfId="1151" priority="980">
      <x:formula>AND(X36&lt;&gt;"",X36&lt;Milestones!$F$5,COUNTIFS(Milestones!$C$11:$C$210,X36,Milestones!$B$11:$B$210,"&lt;&gt;",Milestones!$F$11:$F$210,"&lt;&gt;Cancelled",Milestones!$F$11:$F$210,"&lt;&gt;Complete")&gt;0)</x:formula>
    </x:cfRule>
  </x:conditionalFormatting>
  <x:conditionalFormatting sqref="R37:R37">
    <x:cfRule type="expression" dxfId="1152" priority="981">
      <x:formula>AND(R37&lt;&gt;"",COUNTIFS(Milestones!$C$11:$C$210,R37,Milestones!$B$11:$B$210,"&lt;&gt;",Milestones!$F$11:$F$210,"&lt;&gt;Cancelled")&gt;0)</x:formula>
    </x:cfRule>
    <x:cfRule type="expression" dxfId="1153" priority="982">
      <x:formula>AND(R37&lt;&gt;"",R37&lt;Milestones!$F$5,COUNTIFS(Milestones!$C$11:$C$210,R37,Milestones!$B$11:$B$210,"&lt;&gt;",Milestones!$F$11:$F$210,"&lt;&gt;Cancelled",Milestones!$F$11:$F$210,"&lt;&gt;Complete")&gt;0)</x:formula>
    </x:cfRule>
  </x:conditionalFormatting>
  <x:conditionalFormatting sqref="S37:S37">
    <x:cfRule type="expression" dxfId="1154" priority="983">
      <x:formula>AND(S37&lt;&gt;"",COUNTIFS(Milestones!$C$11:$C$210,S37,Milestones!$B$11:$B$210,"&lt;&gt;",Milestones!$F$11:$F$210,"&lt;&gt;Cancelled")&gt;0)</x:formula>
    </x:cfRule>
    <x:cfRule type="expression" dxfId="1155" priority="984">
      <x:formula>AND(S37&lt;&gt;"",S37&lt;Milestones!$F$5,COUNTIFS(Milestones!$C$11:$C$210,S37,Milestones!$B$11:$B$210,"&lt;&gt;",Milestones!$F$11:$F$210,"&lt;&gt;Cancelled",Milestones!$F$11:$F$210,"&lt;&gt;Complete")&gt;0)</x:formula>
    </x:cfRule>
  </x:conditionalFormatting>
  <x:conditionalFormatting sqref="T37:T37">
    <x:cfRule type="expression" dxfId="1156" priority="985">
      <x:formula>AND(T37&lt;&gt;"",COUNTIFS(Milestones!$C$11:$C$210,T37,Milestones!$B$11:$B$210,"&lt;&gt;",Milestones!$F$11:$F$210,"&lt;&gt;Cancelled")&gt;0)</x:formula>
    </x:cfRule>
    <x:cfRule type="expression" dxfId="1157" priority="986">
      <x:formula>AND(T37&lt;&gt;"",T37&lt;Milestones!$F$5,COUNTIFS(Milestones!$C$11:$C$210,T37,Milestones!$B$11:$B$210,"&lt;&gt;",Milestones!$F$11:$F$210,"&lt;&gt;Cancelled",Milestones!$F$11:$F$210,"&lt;&gt;Complete")&gt;0)</x:formula>
    </x:cfRule>
  </x:conditionalFormatting>
  <x:conditionalFormatting sqref="U37:U37">
    <x:cfRule type="expression" dxfId="1158" priority="987">
      <x:formula>AND(U37&lt;&gt;"",COUNTIFS(Milestones!$C$11:$C$210,U37,Milestones!$B$11:$B$210,"&lt;&gt;",Milestones!$F$11:$F$210,"&lt;&gt;Cancelled")&gt;0)</x:formula>
    </x:cfRule>
    <x:cfRule type="expression" dxfId="1159" priority="988">
      <x:formula>AND(U37&lt;&gt;"",U37&lt;Milestones!$F$5,COUNTIFS(Milestones!$C$11:$C$210,U37,Milestones!$B$11:$B$210,"&lt;&gt;",Milestones!$F$11:$F$210,"&lt;&gt;Cancelled",Milestones!$F$11:$F$210,"&lt;&gt;Complete")&gt;0)</x:formula>
    </x:cfRule>
  </x:conditionalFormatting>
  <x:conditionalFormatting sqref="V37:V37">
    <x:cfRule type="expression" dxfId="1160" priority="989">
      <x:formula>AND(V37&lt;&gt;"",COUNTIFS(Milestones!$C$11:$C$210,V37,Milestones!$B$11:$B$210,"&lt;&gt;",Milestones!$F$11:$F$210,"&lt;&gt;Cancelled")&gt;0)</x:formula>
    </x:cfRule>
    <x:cfRule type="expression" dxfId="1161" priority="990">
      <x:formula>AND(V37&lt;&gt;"",V37&lt;Milestones!$F$5,COUNTIFS(Milestones!$C$11:$C$210,V37,Milestones!$B$11:$B$210,"&lt;&gt;",Milestones!$F$11:$F$210,"&lt;&gt;Cancelled",Milestones!$F$11:$F$210,"&lt;&gt;Complete")&gt;0)</x:formula>
    </x:cfRule>
  </x:conditionalFormatting>
  <x:conditionalFormatting sqref="W37:W37">
    <x:cfRule type="expression" dxfId="1162" priority="991">
      <x:formula>AND(W37&lt;&gt;"",COUNTIFS(Milestones!$C$11:$C$210,W37,Milestones!$B$11:$B$210,"&lt;&gt;",Milestones!$F$11:$F$210,"&lt;&gt;Cancelled")&gt;0)</x:formula>
    </x:cfRule>
    <x:cfRule type="expression" dxfId="1163" priority="992">
      <x:formula>AND(W37&lt;&gt;"",W37&lt;Milestones!$F$5,COUNTIFS(Milestones!$C$11:$C$210,W37,Milestones!$B$11:$B$210,"&lt;&gt;",Milestones!$F$11:$F$210,"&lt;&gt;Cancelled",Milestones!$F$11:$F$210,"&lt;&gt;Complete")&gt;0)</x:formula>
    </x:cfRule>
  </x:conditionalFormatting>
  <x:conditionalFormatting sqref="X37:X37">
    <x:cfRule type="expression" dxfId="1164" priority="993">
      <x:formula>AND(X37&lt;&gt;"",COUNTIFS(Milestones!$C$11:$C$210,X37,Milestones!$B$11:$B$210,"&lt;&gt;",Milestones!$F$11:$F$210,"&lt;&gt;Cancelled")&gt;0)</x:formula>
    </x:cfRule>
    <x:cfRule type="expression" dxfId="1165" priority="994">
      <x:formula>AND(X37&lt;&gt;"",X37&lt;Milestones!$F$5,COUNTIFS(Milestones!$C$11:$C$210,X37,Milestones!$B$11:$B$210,"&lt;&gt;",Milestones!$F$11:$F$210,"&lt;&gt;Cancelled",Milestones!$F$11:$F$210,"&lt;&gt;Complete")&gt;0)</x:formula>
    </x:cfRule>
  </x:conditionalFormatting>
  <x:conditionalFormatting sqref="R38:R38">
    <x:cfRule type="expression" dxfId="1166" priority="995">
      <x:formula>AND(R38&lt;&gt;"",COUNTIFS(Milestones!$C$11:$C$210,R38,Milestones!$B$11:$B$210,"&lt;&gt;",Milestones!$F$11:$F$210,"&lt;&gt;Cancelled")&gt;0)</x:formula>
    </x:cfRule>
    <x:cfRule type="expression" dxfId="1167" priority="996">
      <x:formula>AND(R38&lt;&gt;"",R38&lt;Milestones!$F$5,COUNTIFS(Milestones!$C$11:$C$210,R38,Milestones!$B$11:$B$210,"&lt;&gt;",Milestones!$F$11:$F$210,"&lt;&gt;Cancelled",Milestones!$F$11:$F$210,"&lt;&gt;Complete")&gt;0)</x:formula>
    </x:cfRule>
  </x:conditionalFormatting>
  <x:conditionalFormatting sqref="S38:S38">
    <x:cfRule type="expression" dxfId="1168" priority="997">
      <x:formula>AND(S38&lt;&gt;"",COUNTIFS(Milestones!$C$11:$C$210,S38,Milestones!$B$11:$B$210,"&lt;&gt;",Milestones!$F$11:$F$210,"&lt;&gt;Cancelled")&gt;0)</x:formula>
    </x:cfRule>
    <x:cfRule type="expression" dxfId="1169" priority="998">
      <x:formula>AND(S38&lt;&gt;"",S38&lt;Milestones!$F$5,COUNTIFS(Milestones!$C$11:$C$210,S38,Milestones!$B$11:$B$210,"&lt;&gt;",Milestones!$F$11:$F$210,"&lt;&gt;Cancelled",Milestones!$F$11:$F$210,"&lt;&gt;Complete")&gt;0)</x:formula>
    </x:cfRule>
  </x:conditionalFormatting>
  <x:conditionalFormatting sqref="T38:T38">
    <x:cfRule type="expression" dxfId="1170" priority="999">
      <x:formula>AND(T38&lt;&gt;"",COUNTIFS(Milestones!$C$11:$C$210,T38,Milestones!$B$11:$B$210,"&lt;&gt;",Milestones!$F$11:$F$210,"&lt;&gt;Cancelled")&gt;0)</x:formula>
    </x:cfRule>
    <x:cfRule type="expression" dxfId="1171" priority="1000">
      <x:formula>AND(T38&lt;&gt;"",T38&lt;Milestones!$F$5,COUNTIFS(Milestones!$C$11:$C$210,T38,Milestones!$B$11:$B$210,"&lt;&gt;",Milestones!$F$11:$F$210,"&lt;&gt;Cancelled",Milestones!$F$11:$F$210,"&lt;&gt;Complete")&gt;0)</x:formula>
    </x:cfRule>
  </x:conditionalFormatting>
  <x:conditionalFormatting sqref="U38:U38">
    <x:cfRule type="expression" dxfId="1172" priority="1001">
      <x:formula>AND(U38&lt;&gt;"",COUNTIFS(Milestones!$C$11:$C$210,U38,Milestones!$B$11:$B$210,"&lt;&gt;",Milestones!$F$11:$F$210,"&lt;&gt;Cancelled")&gt;0)</x:formula>
    </x:cfRule>
    <x:cfRule type="expression" dxfId="1173" priority="1002">
      <x:formula>AND(U38&lt;&gt;"",U38&lt;Milestones!$F$5,COUNTIFS(Milestones!$C$11:$C$210,U38,Milestones!$B$11:$B$210,"&lt;&gt;",Milestones!$F$11:$F$210,"&lt;&gt;Cancelled",Milestones!$F$11:$F$210,"&lt;&gt;Complete")&gt;0)</x:formula>
    </x:cfRule>
  </x:conditionalFormatting>
  <x:conditionalFormatting sqref="V38:V38">
    <x:cfRule type="expression" dxfId="1174" priority="1003">
      <x:formula>AND(V38&lt;&gt;"",COUNTIFS(Milestones!$C$11:$C$210,V38,Milestones!$B$11:$B$210,"&lt;&gt;",Milestones!$F$11:$F$210,"&lt;&gt;Cancelled")&gt;0)</x:formula>
    </x:cfRule>
    <x:cfRule type="expression" dxfId="1175" priority="1004">
      <x:formula>AND(V38&lt;&gt;"",V38&lt;Milestones!$F$5,COUNTIFS(Milestones!$C$11:$C$210,V38,Milestones!$B$11:$B$210,"&lt;&gt;",Milestones!$F$11:$F$210,"&lt;&gt;Cancelled",Milestones!$F$11:$F$210,"&lt;&gt;Complete")&gt;0)</x:formula>
    </x:cfRule>
  </x:conditionalFormatting>
  <x:conditionalFormatting sqref="W38:W38">
    <x:cfRule type="expression" dxfId="1176" priority="1005">
      <x:formula>AND(W38&lt;&gt;"",COUNTIFS(Milestones!$C$11:$C$210,W38,Milestones!$B$11:$B$210,"&lt;&gt;",Milestones!$F$11:$F$210,"&lt;&gt;Cancelled")&gt;0)</x:formula>
    </x:cfRule>
    <x:cfRule type="expression" dxfId="1177" priority="1006">
      <x:formula>AND(W38&lt;&gt;"",W38&lt;Milestones!$F$5,COUNTIFS(Milestones!$C$11:$C$210,W38,Milestones!$B$11:$B$210,"&lt;&gt;",Milestones!$F$11:$F$210,"&lt;&gt;Cancelled",Milestones!$F$11:$F$210,"&lt;&gt;Complete")&gt;0)</x:formula>
    </x:cfRule>
  </x:conditionalFormatting>
  <x:conditionalFormatting sqref="X38:X38">
    <x:cfRule type="expression" dxfId="1178" priority="1007">
      <x:formula>AND(X38&lt;&gt;"",COUNTIFS(Milestones!$C$11:$C$210,X38,Milestones!$B$11:$B$210,"&lt;&gt;",Milestones!$F$11:$F$210,"&lt;&gt;Cancelled")&gt;0)</x:formula>
    </x:cfRule>
    <x:cfRule type="expression" dxfId="1179" priority="1008">
      <x:formula>AND(X38&lt;&gt;"",X38&lt;Milestones!$F$5,COUNTIFS(Milestones!$C$11:$C$210,X38,Milestones!$B$11:$B$210,"&lt;&gt;",Milestones!$F$11:$F$210,"&lt;&gt;Cancelled",Milestones!$F$11:$F$210,"&lt;&gt;Complete")&gt;0)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28ED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5" hidden="0" customWidth="1"/>
    <x:col min="4" max="4" width="18" hidden="0" customWidth="1"/>
    <x:col min="5" max="5" width="18" hidden="0" customWidth="1"/>
    <x:col min="6" max="6" width="20" hidden="0" customWidth="1"/>
    <x:col min="7" max="7" width="40" hidden="0" customWidth="1"/>
    <x:col min="8" max="8" width="18" hidden="0" customWidth="1"/>
    <x:col min="9" max="9" width="16" hidden="0" customWidth="1"/>
    <x:col min="10" max="10" width="3" hidden="0" customWidth="1"/>
    <x:col min="11" max="11" width="18" hidden="0" customWidth="1"/>
    <x:col min="12" max="12" width="20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40" customHeight="1">
      <x:c r="A2" s="3"/>
      <x:c r="B2" s="7" t="str">
        <x:v>PROJECT MILESTONES</x:v>
      </x:c>
      <x:c r="C2" s="7"/>
      <x:c r="D2" s="7"/>
      <x:c r="E2" s="7"/>
      <x:c r="F2" s="7"/>
      <x:c r="G2" s="7"/>
      <x:c r="H2" s="7"/>
      <x:c r="I2" s="7"/>
      <x:c r="J2" s="3"/>
      <x:c r="K2" s="3"/>
      <x:c r="L2" s="3"/>
    </x:row>
    <x:row r="3" ht="23" customHeight="1">
      <x:c r="A3" s="3"/>
      <x:c r="B3" s="8" t="str">
        <x:v>Start here: replace the examples below. Edit coloured input cells; calculated columns update automatically.</x:v>
      </x:c>
      <x:c r="C3" s="8"/>
      <x:c r="D3" s="8"/>
      <x:c r="E3" s="8"/>
      <x:c r="F3" s="8"/>
      <x:c r="G3" s="8"/>
      <x:c r="H3" s="8"/>
      <x:c r="I3" s="8"/>
      <x:c r="J3" s="3"/>
      <x:c r="K3" s="3"/>
      <x:c r="L3" s="3"/>
    </x:row>
    <x:row r="4" ht="2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3" customHeight="1">
      <x:c r="A5" s="3"/>
      <x:c r="B5" s="3" t="str">
        <x:v>Project name</x:v>
      </x:c>
      <x:c r="C5" s="10" t="str">
        <x:v>Website launch</x:v>
      </x:c>
      <x:c r="D5" s="10"/>
      <x:c r="E5" s="3" t="str">
        <x:v>Review date</x:v>
      </x:c>
      <x:c r="F5" s="9" t="n">
        <x:f>TODAY()</x:f>
        <x:v>46308</x:v>
      </x:c>
      <x:c r="G5" s="3"/>
      <x:c r="H5" s="3"/>
      <x:c r="I5" s="3"/>
      <x:c r="J5" s="3"/>
      <x:c r="K5" s="3"/>
      <x:c r="L5" s="3"/>
    </x:row>
    <x:row r="6" ht="23" customHeight="1">
      <x:c r="A6" s="3"/>
      <x:c r="B6" s="3" t="str">
        <x:v>Calendar year</x:v>
      </x:c>
      <x:c r="C6" s="10" t="n">
        <x:v>2027</x:v>
      </x:c>
      <x:c r="D6" s="10"/>
      <x:c r="E6" s="3" t="str">
        <x:v>Month (1–12)</x:v>
      </x:c>
      <x:c r="F6" s="10" t="n">
        <x:v>10</x:v>
      </x:c>
      <x:c r="G6" s="3"/>
      <x:c r="H6" s="3"/>
      <x:c r="I6" s="3"/>
      <x:c r="J6" s="3"/>
      <x:c r="K6" s="3"/>
      <x:c r="L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3" customHeight="1">
      <x:c r="A8" s="3"/>
      <x:c r="B8" s="8" t="str">
        <x:v>Enter up to 200 milestones (rows 11–210). Keep titles short. Filter this list to see every item on a busy date.</x:v>
      </x:c>
      <x:c r="C8" s="8"/>
      <x:c r="D8" s="8"/>
      <x:c r="E8" s="8"/>
      <x:c r="F8" s="8"/>
      <x:c r="G8" s="8"/>
      <x:c r="H8" s="8"/>
      <x:c r="I8" s="8"/>
      <x:c r="J8" s="3"/>
      <x:c r="K8" s="3"/>
      <x:c r="L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30" customHeight="1">
      <x:c r="A10" s="3"/>
      <x:c r="B10" s="11" t="str">
        <x:v>Milestone</x:v>
      </x:c>
      <x:c r="C10" s="11" t="str">
        <x:v>Due date</x:v>
      </x:c>
      <x:c r="D10" s="11" t="str">
        <x:v>Owner</x:v>
      </x:c>
      <x:c r="E10" s="11" t="str">
        <x:v>Workstream</x:v>
      </x:c>
      <x:c r="F10" s="11" t="str">
        <x:v>Status</x:v>
      </x:c>
      <x:c r="G10" s="11" t="str">
        <x:v>Notes / acceptance</x:v>
      </x:c>
      <x:c r="H10" s="11" t="str">
        <x:v>Timing</x:v>
      </x:c>
      <x:c r="I10" s="11" t="str">
        <x:v>Calendar key</x:v>
      </x:c>
      <x:c r="J10" s="3"/>
      <x:c r="K10" s="3"/>
      <x:c r="L10" s="3" t="str">
        <x:v>Team names (edit)</x:v>
      </x:c>
    </x:row>
    <x:row r="11" ht="23" customHeight="1">
      <x:c r="A11" s="3"/>
      <x:c r="B11" s="10" t="str">
        <x:v>Scope agreed</x:v>
      </x:c>
      <x:c r="C11" s="13" t="n">
        <x:v>46665</x:v>
      </x:c>
      <x:c r="D11" s="10" t="str">
        <x:v>Alex</x:v>
      </x:c>
      <x:c r="E11" s="10" t="str">
        <x:v>Planning</x:v>
      </x:c>
      <x:c r="F11" s="10" t="str">
        <x:v>Complete</x:v>
      </x:c>
      <x:c r="G11" s="14" t="str">
        <x:v>Sponsor accepts the scope.</x:v>
      </x:c>
      <x:c r="H11" s="12" t="str">
        <x:f>IF(B11="","",IF(F11="Cancelled","Cancelled",IF(F11="Complete","Complete",IF(C11="","Add date",IF(C11&lt;$F$5,"Overdue",IF(C11&lt;=$F$5+7,"Due within 7 days","Upcoming"))))))</x:f>
        <x:v>Complete</x:v>
      </x:c>
      <x:c r="I11" s="12" t="n">
        <x:f>IF(OR(B11="",C11="",F11="Cancelled"),"",C11*1000+COUNTIFS($C$11:C11,C11,$B$11:B11,"&lt;&gt;",$F$11:F11,"&lt;&gt;Cancelled"))</x:f>
        <x:v>46665001</x:v>
      </x:c>
      <x:c r="J11" s="3"/>
      <x:c r="K11" s="3"/>
      <x:c r="L11" s="10" t="str">
        <x:v>Alex</x:v>
      </x:c>
    </x:row>
    <x:row r="12" ht="23" customHeight="1">
      <x:c r="A12" s="3"/>
      <x:c r="B12" s="10" t="str">
        <x:v>Design signed off</x:v>
      </x:c>
      <x:c r="C12" s="13" t="n">
        <x:v>46668</x:v>
      </x:c>
      <x:c r="D12" s="10" t="str">
        <x:v>Sam</x:v>
      </x:c>
      <x:c r="E12" s="10" t="str">
        <x:v>Design</x:v>
      </x:c>
      <x:c r="F12" s="10" t="str">
        <x:v>Complete</x:v>
      </x:c>
      <x:c r="G12" s="14" t="str">
        <x:v>Design approval recorded.</x:v>
      </x:c>
      <x:c r="H12" s="12" t="str">
        <x:f>IF(B12="","",IF(F12="Cancelled","Cancelled",IF(F12="Complete","Complete",IF(C12="","Add date",IF(C12&lt;$F$5,"Overdue",IF(C12&lt;=$F$5+7,"Due within 7 days","Upcoming"))))))</x:f>
        <x:v>Complete</x:v>
      </x:c>
      <x:c r="I12" s="12" t="n">
        <x:f>IF(OR(B12="",C12="",F12="Cancelled"),"",C12*1000+COUNTIFS($C$11:C12,C12,$B$11:B12,"&lt;&gt;",$F$11:F12,"&lt;&gt;Cancelled"))</x:f>
        <x:v>46668001</x:v>
      </x:c>
      <x:c r="J12" s="3"/>
      <x:c r="K12" s="3"/>
      <x:c r="L12" s="10" t="str">
        <x:v>Sam</x:v>
      </x:c>
    </x:row>
    <x:row r="13" ht="23" customHeight="1">
      <x:c r="A13" s="3"/>
      <x:c r="B13" s="10" t="str">
        <x:v>Content approved</x:v>
      </x:c>
      <x:c r="C13" s="13" t="n">
        <x:v>46674</x:v>
      </x:c>
      <x:c r="D13" s="10" t="str">
        <x:v>Jo</x:v>
      </x:c>
      <x:c r="E13" s="10" t="str">
        <x:v>Content</x:v>
      </x:c>
      <x:c r="F13" s="10" t="str">
        <x:v>In progress</x:v>
      </x:c>
      <x:c r="G13" s="14" t="str">
        <x:v>All launch copy approved.</x:v>
      </x:c>
      <x:c r="H13" s="12" t="str">
        <x:f>IF(B13="","",IF(F13="Cancelled","Cancelled",IF(F13="Complete","Complete",IF(C13="","Add date",IF(C13&lt;$F$5,"Overdue",IF(C13&lt;=$F$5+7,"Due within 7 days","Upcoming"))))))</x:f>
        <x:v>Upcoming</x:v>
      </x:c>
      <x:c r="I13" s="12" t="n">
        <x:f>IF(OR(B13="",C13="",F13="Cancelled"),"",C13*1000+COUNTIFS($C$11:C13,C13,$B$11:B13,"&lt;&gt;",$F$11:F13,"&lt;&gt;Cancelled"))</x:f>
        <x:v>46674001</x:v>
      </x:c>
      <x:c r="J13" s="3"/>
      <x:c r="K13" s="3"/>
      <x:c r="L13" s="10" t="str">
        <x:v>Jo</x:v>
      </x:c>
    </x:row>
    <x:row r="14" ht="23" customHeight="1">
      <x:c r="A14" s="3"/>
      <x:c r="B14" s="10" t="str">
        <x:v>Security review</x:v>
      </x:c>
      <x:c r="C14" s="13" t="n">
        <x:v>46679</x:v>
      </x:c>
      <x:c r="D14" s="10" t="str">
        <x:v>Alex</x:v>
      </x:c>
      <x:c r="E14" s="10" t="str">
        <x:v>Technology</x:v>
      </x:c>
      <x:c r="F14" s="10" t="str">
        <x:v>At risk</x:v>
      </x:c>
      <x:c r="G14" s="14" t="str">
        <x:v>Resolve outstanding findings.</x:v>
      </x:c>
      <x:c r="H14" s="12" t="str">
        <x:f>IF(B14="","",IF(F14="Cancelled","Cancelled",IF(F14="Complete","Complete",IF(C14="","Add date",IF(C14&lt;$F$5,"Overdue",IF(C14&lt;=$F$5+7,"Due within 7 days","Upcoming"))))))</x:f>
        <x:v>Upcoming</x:v>
      </x:c>
      <x:c r="I14" s="12" t="n">
        <x:f>IF(OR(B14="",C14="",F14="Cancelled"),"",C14*1000+COUNTIFS($C$11:C14,C14,$B$11:B14,"&lt;&gt;",$F$11:F14,"&lt;&gt;Cancelled"))</x:f>
        <x:v>46679001</x:v>
      </x:c>
      <x:c r="J14" s="3"/>
      <x:c r="K14" s="3"/>
      <x:c r="L14" s="10"/>
    </x:row>
    <x:row r="15" ht="23" customHeight="1">
      <x:c r="A15" s="3"/>
      <x:c r="B15" s="10" t="str">
        <x:v>UAT signed off</x:v>
      </x:c>
      <x:c r="C15" s="13" t="n">
        <x:v>46682</x:v>
      </x:c>
      <x:c r="D15" s="10" t="str">
        <x:v>Sam</x:v>
      </x:c>
      <x:c r="E15" s="10" t="str">
        <x:v>Technology</x:v>
      </x:c>
      <x:c r="F15" s="10" t="str">
        <x:v>Planned</x:v>
      </x:c>
      <x:c r="G15" s="14" t="str">
        <x:v>Business users accept the release.</x:v>
      </x:c>
      <x:c r="H15" s="12" t="str">
        <x:f>IF(B15="","",IF(F15="Cancelled","Cancelled",IF(F15="Complete","Complete",IF(C15="","Add date",IF(C15&lt;$F$5,"Overdue",IF(C15&lt;=$F$5+7,"Due within 7 days","Upcoming"))))))</x:f>
        <x:v>Upcoming</x:v>
      </x:c>
      <x:c r="I15" s="12" t="n">
        <x:f>IF(OR(B15="",C15="",F15="Cancelled"),"",C15*1000+COUNTIFS($C$11:C15,C15,$B$11:B15,"&lt;&gt;",$F$11:F15,"&lt;&gt;Cancelled"))</x:f>
        <x:v>46682001</x:v>
      </x:c>
      <x:c r="J15" s="3"/>
      <x:c r="K15" s="3"/>
      <x:c r="L15" s="10"/>
    </x:row>
    <x:row r="16" ht="23" customHeight="1">
      <x:c r="A16" s="3"/>
      <x:c r="B16" s="10" t="str">
        <x:v>Training complete</x:v>
      </x:c>
      <x:c r="C16" s="13" t="n">
        <x:v>46686</x:v>
      </x:c>
      <x:c r="D16" s="10" t="str">
        <x:v>Jo</x:v>
      </x:c>
      <x:c r="E16" s="10" t="str">
        <x:v>People</x:v>
      </x:c>
      <x:c r="F16" s="10" t="str">
        <x:v>Planned</x:v>
      </x:c>
      <x:c r="G16" s="14" t="str">
        <x:v>Support team trained.</x:v>
      </x:c>
      <x:c r="H16" s="12" t="str">
        <x:f>IF(B16="","",IF(F16="Cancelled","Cancelled",IF(F16="Complete","Complete",IF(C16="","Add date",IF(C16&lt;$F$5,"Overdue",IF(C16&lt;=$F$5+7,"Due within 7 days","Upcoming"))))))</x:f>
        <x:v>Upcoming</x:v>
      </x:c>
      <x:c r="I16" s="12" t="n">
        <x:f>IF(OR(B16="",C16="",F16="Cancelled"),"",C16*1000+COUNTIFS($C$11:C16,C16,$B$11:B16,"&lt;&gt;",$F$11:F16,"&lt;&gt;Cancelled"))</x:f>
        <x:v>46686001</x:v>
      </x:c>
      <x:c r="J16" s="3"/>
      <x:c r="K16" s="3"/>
      <x:c r="L16" s="10"/>
    </x:row>
    <x:row r="17" ht="23" customHeight="1">
      <x:c r="A17" s="3"/>
      <x:c r="B17" s="10" t="str">
        <x:v>Go / no-go decision</x:v>
      </x:c>
      <x:c r="C17" s="13" t="n">
        <x:v>46688</x:v>
      </x:c>
      <x:c r="D17" s="10" t="str">
        <x:v>Alex</x:v>
      </x:c>
      <x:c r="E17" s="10" t="str">
        <x:v>Governance</x:v>
      </x:c>
      <x:c r="F17" s="10" t="str">
        <x:v>Planned</x:v>
      </x:c>
      <x:c r="G17" s="14" t="str">
        <x:v>Sponsor confirms readiness.</x:v>
      </x:c>
      <x:c r="H17" s="12" t="str">
        <x:f>IF(B17="","",IF(F17="Cancelled","Cancelled",IF(F17="Complete","Complete",IF(C17="","Add date",IF(C17&lt;$F$5,"Overdue",IF(C17&lt;=$F$5+7,"Due within 7 days","Upcoming"))))))</x:f>
        <x:v>Upcoming</x:v>
      </x:c>
      <x:c r="I17" s="12" t="n">
        <x:f>IF(OR(B17="",C17="",F17="Cancelled"),"",C17*1000+COUNTIFS($C$11:C17,C17,$B$11:B17,"&lt;&gt;",$F$11:F17,"&lt;&gt;Cancelled"))</x:f>
        <x:v>46688001</x:v>
      </x:c>
      <x:c r="J17" s="3"/>
      <x:c r="K17" s="3"/>
      <x:c r="L17" s="10"/>
    </x:row>
    <x:row r="18" ht="23" customHeight="1">
      <x:c r="A18" s="3"/>
      <x:c r="B18" s="10" t="str">
        <x:v>Launch</x:v>
      </x:c>
      <x:c r="C18" s="13" t="n">
        <x:v>46690</x:v>
      </x:c>
      <x:c r="D18" s="10" t="str">
        <x:v>Sam</x:v>
      </x:c>
      <x:c r="E18" s="10" t="str">
        <x:v>Technology</x:v>
      </x:c>
      <x:c r="F18" s="10" t="str">
        <x:v>Planned</x:v>
      </x:c>
      <x:c r="G18" s="14" t="str">
        <x:v>Production release verified.</x:v>
      </x:c>
      <x:c r="H18" s="12" t="str">
        <x:f>IF(B18="","",IF(F18="Cancelled","Cancelled",IF(F18="Complete","Complete",IF(C18="","Add date",IF(C18&lt;$F$5,"Overdue",IF(C18&lt;=$F$5+7,"Due within 7 days","Upcoming"))))))</x:f>
        <x:v>Upcoming</x:v>
      </x:c>
      <x:c r="I18" s="12" t="n">
        <x:f>IF(OR(B18="",C18="",F18="Cancelled"),"",C18*1000+COUNTIFS($C$11:C18,C18,$B$11:B18,"&lt;&gt;",$F$11:F18,"&lt;&gt;Cancelled"))</x:f>
        <x:v>46690001</x:v>
      </x:c>
      <x:c r="J18" s="3"/>
      <x:c r="K18" s="3"/>
      <x:c r="L18" s="10"/>
    </x:row>
    <x:row r="19" ht="23" customHeight="1">
      <x:c r="A19" s="3"/>
      <x:c r="B19" s="10" t="str">
        <x:v>Support handover</x:v>
      </x:c>
      <x:c r="C19" s="13" t="n">
        <x:v>46690</x:v>
      </x:c>
      <x:c r="D19" s="10" t="str">
        <x:v>Jo</x:v>
      </x:c>
      <x:c r="E19" s="10" t="str">
        <x:v>People</x:v>
      </x:c>
      <x:c r="F19" s="10" t="str">
        <x:v>Planned</x:v>
      </x:c>
      <x:c r="G19" s="14" t="str">
        <x:v>Operational ownership accepted.</x:v>
      </x:c>
      <x:c r="H19" s="12" t="str">
        <x:f>IF(B19="","",IF(F19="Cancelled","Cancelled",IF(F19="Complete","Complete",IF(C19="","Add date",IF(C19&lt;$F$5,"Overdue",IF(C19&lt;=$F$5+7,"Due within 7 days","Upcoming"))))))</x:f>
        <x:v>Upcoming</x:v>
      </x:c>
      <x:c r="I19" s="12" t="n">
        <x:f>IF(OR(B19="",C19="",F19="Cancelled"),"",C19*1000+COUNTIFS($C$11:C19,C19,$B$11:B19,"&lt;&gt;",$F$11:F19,"&lt;&gt;Cancelled"))</x:f>
        <x:v>46690002</x:v>
      </x:c>
      <x:c r="J19" s="3"/>
      <x:c r="K19" s="3"/>
      <x:c r="L19" s="10"/>
    </x:row>
    <x:row r="20" ht="23" customHeight="1">
      <x:c r="A20" s="3"/>
      <x:c r="B20" s="10" t="str">
        <x:v>Launch communications</x:v>
      </x:c>
      <x:c r="C20" s="13" t="n">
        <x:v>46690</x:v>
      </x:c>
      <x:c r="D20" s="10" t="str">
        <x:v>Alex</x:v>
      </x:c>
      <x:c r="E20" s="10" t="str">
        <x:v>Content</x:v>
      </x:c>
      <x:c r="F20" s="10" t="str">
        <x:v>Planned</x:v>
      </x:c>
      <x:c r="G20" s="14" t="str">
        <x:v>Customer announcement sent.</x:v>
      </x:c>
      <x:c r="H20" s="12" t="str">
        <x:f>IF(B20="","",IF(F20="Cancelled","Cancelled",IF(F20="Complete","Complete",IF(C20="","Add date",IF(C20&lt;$F$5,"Overdue",IF(C20&lt;=$F$5+7,"Due within 7 days","Upcoming"))))))</x:f>
        <x:v>Upcoming</x:v>
      </x:c>
      <x:c r="I20" s="12" t="n">
        <x:f>IF(OR(B20="",C20="",F20="Cancelled"),"",C20*1000+COUNTIFS($C$11:C20,C20,$B$11:B20,"&lt;&gt;",$F$11:F20,"&lt;&gt;Cancelled"))</x:f>
        <x:v>46690003</x:v>
      </x:c>
      <x:c r="J20" s="3"/>
      <x:c r="K20" s="3"/>
      <x:c r="L20" s="10"/>
    </x:row>
    <x:row r="21" ht="23" customHeight="1">
      <x:c r="A21" s="3"/>
      <x:c r="B21" s="10" t="str">
        <x:v>Benefits baseline</x:v>
      </x:c>
      <x:c r="C21" s="13" t="n">
        <x:v>46690</x:v>
      </x:c>
      <x:c r="D21" s="10" t="str">
        <x:v>Jo</x:v>
      </x:c>
      <x:c r="E21" s="10" t="str">
        <x:v>Governance</x:v>
      </x:c>
      <x:c r="F21" s="10" t="str">
        <x:v>Planned</x:v>
      </x:c>
      <x:c r="G21" s="14" t="str">
        <x:v>Baseline measures recorded.</x:v>
      </x:c>
      <x:c r="H21" s="12" t="str">
        <x:f>IF(B21="","",IF(F21="Cancelled","Cancelled",IF(F21="Complete","Complete",IF(C21="","Add date",IF(C21&lt;$F$5,"Overdue",IF(C21&lt;=$F$5+7,"Due within 7 days","Upcoming"))))))</x:f>
        <x:v>Upcoming</x:v>
      </x:c>
      <x:c r="I21" s="12" t="n">
        <x:f>IF(OR(B21="",C21="",F21="Cancelled"),"",C21*1000+COUNTIFS($C$11:C21,C21,$B$11:B21,"&lt;&gt;",$F$11:F21,"&lt;&gt;Cancelled"))</x:f>
        <x:v>46690004</x:v>
      </x:c>
      <x:c r="J21" s="3"/>
      <x:c r="K21" s="3"/>
      <x:c r="L21" s="10"/>
    </x:row>
    <x:row r="22" ht="23" customHeight="1">
      <x:c r="A22" s="3"/>
      <x:c r="B22" s="10" t="str">
        <x:v>First benefits review</x:v>
      </x:c>
      <x:c r="C22" s="13" t="n">
        <x:v>46711</x:v>
      </x:c>
      <x:c r="D22" s="10" t="str">
        <x:v>Alex</x:v>
      </x:c>
      <x:c r="E22" s="10" t="str">
        <x:v>Governance</x:v>
      </x:c>
      <x:c r="F22" s="10" t="str">
        <x:v>Planned</x:v>
      </x:c>
      <x:c r="G22" s="14" t="str">
        <x:v>Review adoption and support demand.</x:v>
      </x:c>
      <x:c r="H22" s="12" t="str">
        <x:f>IF(B22="","",IF(F22="Cancelled","Cancelled",IF(F22="Complete","Complete",IF(C22="","Add date",IF(C22&lt;$F$5,"Overdue",IF(C22&lt;=$F$5+7,"Due within 7 days","Upcoming"))))))</x:f>
        <x:v>Upcoming</x:v>
      </x:c>
      <x:c r="I22" s="12" t="n">
        <x:f>IF(OR(B22="",C22="",F22="Cancelled"),"",C22*1000+COUNTIFS($C$11:C22,C22,$B$11:B22,"&lt;&gt;",$F$11:F22,"&lt;&gt;Cancelled"))</x:f>
        <x:v>46711001</x:v>
      </x:c>
      <x:c r="J22" s="3"/>
      <x:c r="K22" s="3"/>
      <x:c r="L22" s="10"/>
    </x:row>
    <x:row r="23" ht="23" customHeight="1">
      <x:c r="A23" s="3"/>
      <x:c r="B23" s="10" t="str">
        <x:v>Project closure</x:v>
      </x:c>
      <x:c r="C23" s="13" t="n">
        <x:v>46725</x:v>
      </x:c>
      <x:c r="D23" s="10" t="str">
        <x:v>Sam</x:v>
      </x:c>
      <x:c r="E23" s="10" t="str">
        <x:v>Governance</x:v>
      </x:c>
      <x:c r="F23" s="10" t="str">
        <x:v>Planned</x:v>
      </x:c>
      <x:c r="G23" s="14" t="str">
        <x:v>Agree closure report.</x:v>
      </x:c>
      <x:c r="H23" s="12" t="str">
        <x:f>IF(B23="","",IF(F23="Cancelled","Cancelled",IF(F23="Complete","Complete",IF(C23="","Add date",IF(C23&lt;$F$5,"Overdue",IF(C23&lt;=$F$5+7,"Due within 7 days","Upcoming"))))))</x:f>
        <x:v>Upcoming</x:v>
      </x:c>
      <x:c r="I23" s="12" t="n">
        <x:f>IF(OR(B23="",C23="",F23="Cancelled"),"",C23*1000+COUNTIFS($C$11:C23,C23,$B$11:B23,"&lt;&gt;",$F$11:F23,"&lt;&gt;Cancelled"))</x:f>
        <x:v>46725001</x:v>
      </x:c>
      <x:c r="J23" s="3"/>
      <x:c r="K23" s="3"/>
      <x:c r="L23" s="10"/>
    </x:row>
    <x:row r="24" ht="23" customHeight="1">
      <x:c r="A24" s="3"/>
      <x:c r="B24" s="10" t="str">
        <x:v>Discovery complete</x:v>
      </x:c>
      <x:c r="C24" s="13" t="n">
        <x:v>46648</x:v>
      </x:c>
      <x:c r="D24" s="10" t="str">
        <x:v>Jo</x:v>
      </x:c>
      <x:c r="E24" s="10" t="str">
        <x:v>Planning</x:v>
      </x:c>
      <x:c r="F24" s="10" t="str">
        <x:v>Complete</x:v>
      </x:c>
      <x:c r="G24" s="14" t="str">
        <x:v>Research findings accepted.</x:v>
      </x:c>
      <x:c r="H24" s="12" t="str">
        <x:f>IF(B24="","",IF(F24="Cancelled","Cancelled",IF(F24="Complete","Complete",IF(C24="","Add date",IF(C24&lt;$F$5,"Overdue",IF(C24&lt;=$F$5+7,"Due within 7 days","Upcoming"))))))</x:f>
        <x:v>Complete</x:v>
      </x:c>
      <x:c r="I24" s="12" t="n">
        <x:f>IF(OR(B24="",C24="",F24="Cancelled"),"",C24*1000+COUNTIFS($C$11:C24,C24,$B$11:B24,"&lt;&gt;",$F$11:F24,"&lt;&gt;Cancelled"))</x:f>
        <x:v>46648001</x:v>
      </x:c>
      <x:c r="J24" s="3"/>
      <x:c r="K24" s="3"/>
      <x:c r="L24" s="10"/>
    </x:row>
    <x:row r="25" ht="23" customHeight="1">
      <x:c r="A25" s="3"/>
      <x:c r="B25" s="10"/>
      <x:c r="C25" s="13"/>
      <x:c r="D25" s="10"/>
      <x:c r="E25" s="10"/>
      <x:c r="F25" s="10"/>
      <x:c r="G25" s="14"/>
      <x:c r="H25" s="12" t="str">
        <x:f>IF(B25="","",IF(F25="Cancelled","Cancelled",IF(F25="Complete","Complete",IF(C25="","Add date",IF(C25&lt;$F$5,"Overdue",IF(C25&lt;=$F$5+7,"Due within 7 days","Upcoming"))))))</x:f>
      </x:c>
      <x:c r="I25" s="12" t="str">
        <x:f>IF(OR(B25="",C25="",F25="Cancelled"),"",C25*1000+COUNTIFS($C$11:C25,C25,$B$11:B25,"&lt;&gt;",$F$11:F25,"&lt;&gt;Cancelled"))</x:f>
      </x:c>
      <x:c r="J25" s="3"/>
      <x:c r="K25" s="3"/>
      <x:c r="L25" s="10"/>
    </x:row>
    <x:row r="26" ht="23" customHeight="1">
      <x:c r="A26" s="3"/>
      <x:c r="B26" s="10"/>
      <x:c r="C26" s="13"/>
      <x:c r="D26" s="10"/>
      <x:c r="E26" s="10"/>
      <x:c r="F26" s="10"/>
      <x:c r="G26" s="14"/>
      <x:c r="H26" s="12" t="str">
        <x:f>IF(B26="","",IF(F26="Cancelled","Cancelled",IF(F26="Complete","Complete",IF(C26="","Add date",IF(C26&lt;$F$5,"Overdue",IF(C26&lt;=$F$5+7,"Due within 7 days","Upcoming"))))))</x:f>
      </x:c>
      <x:c r="I26" s="12" t="str">
        <x:f>IF(OR(B26="",C26="",F26="Cancelled"),"",C26*1000+COUNTIFS($C$11:C26,C26,$B$11:B26,"&lt;&gt;",$F$11:F26,"&lt;&gt;Cancelled"))</x:f>
      </x:c>
      <x:c r="J26" s="3"/>
      <x:c r="K26" s="3"/>
      <x:c r="L26" s="10"/>
    </x:row>
    <x:row r="27" ht="23" customHeight="1">
      <x:c r="A27" s="3"/>
      <x:c r="B27" s="10"/>
      <x:c r="C27" s="13"/>
      <x:c r="D27" s="10"/>
      <x:c r="E27" s="10"/>
      <x:c r="F27" s="10"/>
      <x:c r="G27" s="14"/>
      <x:c r="H27" s="12" t="str">
        <x:f>IF(B27="","",IF(F27="Cancelled","Cancelled",IF(F27="Complete","Complete",IF(C27="","Add date",IF(C27&lt;$F$5,"Overdue",IF(C27&lt;=$F$5+7,"Due within 7 days","Upcoming"))))))</x:f>
      </x:c>
      <x:c r="I27" s="12" t="str">
        <x:f>IF(OR(B27="",C27="",F27="Cancelled"),"",C27*1000+COUNTIFS($C$11:C27,C27,$B$11:B27,"&lt;&gt;",$F$11:F27,"&lt;&gt;Cancelled"))</x:f>
      </x:c>
      <x:c r="J27" s="3"/>
      <x:c r="K27" s="3"/>
      <x:c r="L27" s="10"/>
    </x:row>
    <x:row r="28" ht="23" customHeight="1">
      <x:c r="A28" s="3"/>
      <x:c r="B28" s="10"/>
      <x:c r="C28" s="13"/>
      <x:c r="D28" s="10"/>
      <x:c r="E28" s="10"/>
      <x:c r="F28" s="10"/>
      <x:c r="G28" s="14"/>
      <x:c r="H28" s="12" t="str">
        <x:f>IF(B28="","",IF(F28="Cancelled","Cancelled",IF(F28="Complete","Complete",IF(C28="","Add date",IF(C28&lt;$F$5,"Overdue",IF(C28&lt;=$F$5+7,"Due within 7 days","Upcoming"))))))</x:f>
      </x:c>
      <x:c r="I28" s="12" t="str">
        <x:f>IF(OR(B28="",C28="",F28="Cancelled"),"",C28*1000+COUNTIFS($C$11:C28,C28,$B$11:B28,"&lt;&gt;",$F$11:F28,"&lt;&gt;Cancelled"))</x:f>
      </x:c>
      <x:c r="J28" s="3"/>
      <x:c r="K28" s="3"/>
      <x:c r="L28" s="10"/>
    </x:row>
    <x:row r="29" ht="23" customHeight="1">
      <x:c r="A29" s="3"/>
      <x:c r="B29" s="10"/>
      <x:c r="C29" s="13"/>
      <x:c r="D29" s="10"/>
      <x:c r="E29" s="10"/>
      <x:c r="F29" s="10"/>
      <x:c r="G29" s="14"/>
      <x:c r="H29" s="12" t="str">
        <x:f>IF(B29="","",IF(F29="Cancelled","Cancelled",IF(F29="Complete","Complete",IF(C29="","Add date",IF(C29&lt;$F$5,"Overdue",IF(C29&lt;=$F$5+7,"Due within 7 days","Upcoming"))))))</x:f>
      </x:c>
      <x:c r="I29" s="12" t="str">
        <x:f>IF(OR(B29="",C29="",F29="Cancelled"),"",C29*1000+COUNTIFS($C$11:C29,C29,$B$11:B29,"&lt;&gt;",$F$11:F29,"&lt;&gt;Cancelled"))</x:f>
      </x:c>
      <x:c r="J29" s="3"/>
      <x:c r="K29" s="3"/>
      <x:c r="L29" s="10"/>
    </x:row>
    <x:row r="30" ht="23" customHeight="1">
      <x:c r="A30" s="3"/>
      <x:c r="B30" s="10"/>
      <x:c r="C30" s="13"/>
      <x:c r="D30" s="10"/>
      <x:c r="E30" s="10"/>
      <x:c r="F30" s="10"/>
      <x:c r="G30" s="14"/>
      <x:c r="H30" s="12" t="str">
        <x:f>IF(B30="","",IF(F30="Cancelled","Cancelled",IF(F30="Complete","Complete",IF(C30="","Add date",IF(C30&lt;$F$5,"Overdue",IF(C30&lt;=$F$5+7,"Due within 7 days","Upcoming"))))))</x:f>
      </x:c>
      <x:c r="I30" s="12" t="str">
        <x:f>IF(OR(B30="",C30="",F30="Cancelled"),"",C30*1000+COUNTIFS($C$11:C30,C30,$B$11:B30,"&lt;&gt;",$F$11:F30,"&lt;&gt;Cancelled"))</x:f>
      </x:c>
      <x:c r="J30" s="3"/>
      <x:c r="K30" s="3"/>
      <x:c r="L30" s="10"/>
    </x:row>
    <x:row r="31" ht="23" customHeight="1">
      <x:c r="A31" s="3"/>
      <x:c r="B31" s="10"/>
      <x:c r="C31" s="13"/>
      <x:c r="D31" s="10"/>
      <x:c r="E31" s="10"/>
      <x:c r="F31" s="10"/>
      <x:c r="G31" s="14"/>
      <x:c r="H31" s="12" t="str">
        <x:f>IF(B31="","",IF(F31="Cancelled","Cancelled",IF(F31="Complete","Complete",IF(C31="","Add date",IF(C31&lt;$F$5,"Overdue",IF(C31&lt;=$F$5+7,"Due within 7 days","Upcoming"))))))</x:f>
      </x:c>
      <x:c r="I31" s="12" t="str">
        <x:f>IF(OR(B31="",C31="",F31="Cancelled"),"",C31*1000+COUNTIFS($C$11:C31,C31,$B$11:B31,"&lt;&gt;",$F$11:F31,"&lt;&gt;Cancelled"))</x:f>
      </x:c>
      <x:c r="J31" s="3"/>
      <x:c r="K31" s="3"/>
      <x:c r="L31" s="3"/>
    </x:row>
    <x:row r="32" ht="23" customHeight="1">
      <x:c r="A32" s="3"/>
      <x:c r="B32" s="10"/>
      <x:c r="C32" s="13"/>
      <x:c r="D32" s="10"/>
      <x:c r="E32" s="10"/>
      <x:c r="F32" s="10"/>
      <x:c r="G32" s="14"/>
      <x:c r="H32" s="12" t="str">
        <x:f>IF(B32="","",IF(F32="Cancelled","Cancelled",IF(F32="Complete","Complete",IF(C32="","Add date",IF(C32&lt;$F$5,"Overdue",IF(C32&lt;=$F$5+7,"Due within 7 days","Upcoming"))))))</x:f>
      </x:c>
      <x:c r="I32" s="12" t="str">
        <x:f>IF(OR(B32="",C32="",F32="Cancelled"),"",C32*1000+COUNTIFS($C$11:C32,C32,$B$11:B32,"&lt;&gt;",$F$11:F32,"&lt;&gt;Cancelled"))</x:f>
      </x:c>
      <x:c r="J32" s="3"/>
      <x:c r="K32" s="3"/>
      <x:c r="L32" s="3"/>
    </x:row>
    <x:row r="33" ht="23" customHeight="1">
      <x:c r="A33" s="3"/>
      <x:c r="B33" s="10"/>
      <x:c r="C33" s="13"/>
      <x:c r="D33" s="10"/>
      <x:c r="E33" s="10"/>
      <x:c r="F33" s="10"/>
      <x:c r="G33" s="14"/>
      <x:c r="H33" s="12" t="str">
        <x:f>IF(B33="","",IF(F33="Cancelled","Cancelled",IF(F33="Complete","Complete",IF(C33="","Add date",IF(C33&lt;$F$5,"Overdue",IF(C33&lt;=$F$5+7,"Due within 7 days","Upcoming"))))))</x:f>
      </x:c>
      <x:c r="I33" s="12" t="str">
        <x:f>IF(OR(B33="",C33="",F33="Cancelled"),"",C33*1000+COUNTIFS($C$11:C33,C33,$B$11:B33,"&lt;&gt;",$F$11:F33,"&lt;&gt;Cancelled"))</x:f>
      </x:c>
      <x:c r="J33" s="3"/>
      <x:c r="K33" s="3"/>
      <x:c r="L33" s="3"/>
    </x:row>
    <x:row r="34" ht="23" customHeight="1">
      <x:c r="A34" s="3"/>
      <x:c r="B34" s="10"/>
      <x:c r="C34" s="13"/>
      <x:c r="D34" s="10"/>
      <x:c r="E34" s="10"/>
      <x:c r="F34" s="10"/>
      <x:c r="G34" s="14"/>
      <x:c r="H34" s="12" t="str">
        <x:f>IF(B34="","",IF(F34="Cancelled","Cancelled",IF(F34="Complete","Complete",IF(C34="","Add date",IF(C34&lt;$F$5,"Overdue",IF(C34&lt;=$F$5+7,"Due within 7 days","Upcoming"))))))</x:f>
      </x:c>
      <x:c r="I34" s="12" t="str">
        <x:f>IF(OR(B34="",C34="",F34="Cancelled"),"",C34*1000+COUNTIFS($C$11:C34,C34,$B$11:B34,"&lt;&gt;",$F$11:F34,"&lt;&gt;Cancelled"))</x:f>
      </x:c>
      <x:c r="J34" s="3"/>
      <x:c r="K34" s="3"/>
      <x:c r="L34" s="3"/>
    </x:row>
    <x:row r="35" ht="23" customHeight="1">
      <x:c r="A35" s="3"/>
      <x:c r="B35" s="10"/>
      <x:c r="C35" s="13"/>
      <x:c r="D35" s="10"/>
      <x:c r="E35" s="10"/>
      <x:c r="F35" s="10"/>
      <x:c r="G35" s="14"/>
      <x:c r="H35" s="12" t="str">
        <x:f>IF(B35="","",IF(F35="Cancelled","Cancelled",IF(F35="Complete","Complete",IF(C35="","Add date",IF(C35&lt;$F$5,"Overdue",IF(C35&lt;=$F$5+7,"Due within 7 days","Upcoming"))))))</x:f>
      </x:c>
      <x:c r="I35" s="12" t="str">
        <x:f>IF(OR(B35="",C35="",F35="Cancelled"),"",C35*1000+COUNTIFS($C$11:C35,C35,$B$11:B35,"&lt;&gt;",$F$11:F35,"&lt;&gt;Cancelled"))</x:f>
      </x:c>
      <x:c r="J35" s="3"/>
      <x:c r="K35" s="3"/>
      <x:c r="L35" s="3"/>
    </x:row>
    <x:row r="36" ht="23" customHeight="1">
      <x:c r="A36" s="3"/>
      <x:c r="B36" s="10"/>
      <x:c r="C36" s="13"/>
      <x:c r="D36" s="10"/>
      <x:c r="E36" s="10"/>
      <x:c r="F36" s="10"/>
      <x:c r="G36" s="14"/>
      <x:c r="H36" s="12" t="str">
        <x:f>IF(B36="","",IF(F36="Cancelled","Cancelled",IF(F36="Complete","Complete",IF(C36="","Add date",IF(C36&lt;$F$5,"Overdue",IF(C36&lt;=$F$5+7,"Due within 7 days","Upcoming"))))))</x:f>
      </x:c>
      <x:c r="I36" s="12" t="str">
        <x:f>IF(OR(B36="",C36="",F36="Cancelled"),"",C36*1000+COUNTIFS($C$11:C36,C36,$B$11:B36,"&lt;&gt;",$F$11:F36,"&lt;&gt;Cancelled"))</x:f>
      </x:c>
      <x:c r="J36" s="3"/>
      <x:c r="K36" s="3"/>
      <x:c r="L36" s="3"/>
    </x:row>
    <x:row r="37" ht="23" customHeight="1">
      <x:c r="A37" s="3"/>
      <x:c r="B37" s="10"/>
      <x:c r="C37" s="13"/>
      <x:c r="D37" s="10"/>
      <x:c r="E37" s="10"/>
      <x:c r="F37" s="10"/>
      <x:c r="G37" s="14"/>
      <x:c r="H37" s="12" t="str">
        <x:f>IF(B37="","",IF(F37="Cancelled","Cancelled",IF(F37="Complete","Complete",IF(C37="","Add date",IF(C37&lt;$F$5,"Overdue",IF(C37&lt;=$F$5+7,"Due within 7 days","Upcoming"))))))</x:f>
      </x:c>
      <x:c r="I37" s="12" t="str">
        <x:f>IF(OR(B37="",C37="",F37="Cancelled"),"",C37*1000+COUNTIFS($C$11:C37,C37,$B$11:B37,"&lt;&gt;",$F$11:F37,"&lt;&gt;Cancelled"))</x:f>
      </x:c>
      <x:c r="J37" s="3"/>
      <x:c r="K37" s="3"/>
      <x:c r="L37" s="3"/>
    </x:row>
    <x:row r="38" ht="23" customHeight="1">
      <x:c r="A38" s="3"/>
      <x:c r="B38" s="10"/>
      <x:c r="C38" s="13"/>
      <x:c r="D38" s="10"/>
      <x:c r="E38" s="10"/>
      <x:c r="F38" s="10"/>
      <x:c r="G38" s="14"/>
      <x:c r="H38" s="12" t="str">
        <x:f>IF(B38="","",IF(F38="Cancelled","Cancelled",IF(F38="Complete","Complete",IF(C38="","Add date",IF(C38&lt;$F$5,"Overdue",IF(C38&lt;=$F$5+7,"Due within 7 days","Upcoming"))))))</x:f>
      </x:c>
      <x:c r="I38" s="12" t="str">
        <x:f>IF(OR(B38="",C38="",F38="Cancelled"),"",C38*1000+COUNTIFS($C$11:C38,C38,$B$11:B38,"&lt;&gt;",$F$11:F38,"&lt;&gt;Cancelled"))</x:f>
      </x:c>
      <x:c r="J38" s="3"/>
      <x:c r="K38" s="3"/>
      <x:c r="L38" s="3"/>
    </x:row>
    <x:row r="39" ht="23" customHeight="1">
      <x:c r="A39" s="3"/>
      <x:c r="B39" s="10"/>
      <x:c r="C39" s="13"/>
      <x:c r="D39" s="10"/>
      <x:c r="E39" s="10"/>
      <x:c r="F39" s="10"/>
      <x:c r="G39" s="14"/>
      <x:c r="H39" s="12" t="str">
        <x:f>IF(B39="","",IF(F39="Cancelled","Cancelled",IF(F39="Complete","Complete",IF(C39="","Add date",IF(C39&lt;$F$5,"Overdue",IF(C39&lt;=$F$5+7,"Due within 7 days","Upcoming"))))))</x:f>
      </x:c>
      <x:c r="I39" s="12" t="str">
        <x:f>IF(OR(B39="",C39="",F39="Cancelled"),"",C39*1000+COUNTIFS($C$11:C39,C39,$B$11:B39,"&lt;&gt;",$F$11:F39,"&lt;&gt;Cancelled"))</x:f>
      </x:c>
      <x:c r="J39" s="3"/>
      <x:c r="K39" s="3"/>
      <x:c r="L39" s="3"/>
    </x:row>
    <x:row r="40" ht="23" customHeight="1">
      <x:c r="A40" s="3"/>
      <x:c r="B40" s="10"/>
      <x:c r="C40" s="13"/>
      <x:c r="D40" s="10"/>
      <x:c r="E40" s="10"/>
      <x:c r="F40" s="10"/>
      <x:c r="G40" s="14"/>
      <x:c r="H40" s="12" t="str">
        <x:f>IF(B40="","",IF(F40="Cancelled","Cancelled",IF(F40="Complete","Complete",IF(C40="","Add date",IF(C40&lt;$F$5,"Overdue",IF(C40&lt;=$F$5+7,"Due within 7 days","Upcoming"))))))</x:f>
      </x:c>
      <x:c r="I40" s="12" t="str">
        <x:f>IF(OR(B40="",C40="",F40="Cancelled"),"",C40*1000+COUNTIFS($C$11:C40,C40,$B$11:B40,"&lt;&gt;",$F$11:F40,"&lt;&gt;Cancelled"))</x:f>
      </x:c>
      <x:c r="J40" s="3"/>
      <x:c r="K40" s="3"/>
      <x:c r="L40" s="3"/>
    </x:row>
    <x:row r="41" ht="23" customHeight="1">
      <x:c r="A41" s="3"/>
      <x:c r="B41" s="10"/>
      <x:c r="C41" s="13"/>
      <x:c r="D41" s="10"/>
      <x:c r="E41" s="10"/>
      <x:c r="F41" s="10"/>
      <x:c r="G41" s="14"/>
      <x:c r="H41" s="12" t="str">
        <x:f>IF(B41="","",IF(F41="Cancelled","Cancelled",IF(F41="Complete","Complete",IF(C41="","Add date",IF(C41&lt;$F$5,"Overdue",IF(C41&lt;=$F$5+7,"Due within 7 days","Upcoming"))))))</x:f>
      </x:c>
      <x:c r="I41" s="12" t="str">
        <x:f>IF(OR(B41="",C41="",F41="Cancelled"),"",C41*1000+COUNTIFS($C$11:C41,C41,$B$11:B41,"&lt;&gt;",$F$11:F41,"&lt;&gt;Cancelled"))</x:f>
      </x:c>
      <x:c r="J41" s="3"/>
      <x:c r="K41" s="3"/>
      <x:c r="L41" s="3"/>
    </x:row>
    <x:row r="42" ht="23" customHeight="1">
      <x:c r="A42" s="3"/>
      <x:c r="B42" s="10"/>
      <x:c r="C42" s="13"/>
      <x:c r="D42" s="10"/>
      <x:c r="E42" s="10"/>
      <x:c r="F42" s="10"/>
      <x:c r="G42" s="14"/>
      <x:c r="H42" s="12" t="str">
        <x:f>IF(B42="","",IF(F42="Cancelled","Cancelled",IF(F42="Complete","Complete",IF(C42="","Add date",IF(C42&lt;$F$5,"Overdue",IF(C42&lt;=$F$5+7,"Due within 7 days","Upcoming"))))))</x:f>
      </x:c>
      <x:c r="I42" s="12" t="str">
        <x:f>IF(OR(B42="",C42="",F42="Cancelled"),"",C42*1000+COUNTIFS($C$11:C42,C42,$B$11:B42,"&lt;&gt;",$F$11:F42,"&lt;&gt;Cancelled"))</x:f>
      </x:c>
      <x:c r="J42" s="3"/>
      <x:c r="K42" s="3"/>
      <x:c r="L42" s="3"/>
    </x:row>
    <x:row r="43" ht="23" customHeight="1">
      <x:c r="A43" s="3"/>
      <x:c r="B43" s="10"/>
      <x:c r="C43" s="13"/>
      <x:c r="D43" s="10"/>
      <x:c r="E43" s="10"/>
      <x:c r="F43" s="10"/>
      <x:c r="G43" s="14"/>
      <x:c r="H43" s="12" t="str">
        <x:f>IF(B43="","",IF(F43="Cancelled","Cancelled",IF(F43="Complete","Complete",IF(C43="","Add date",IF(C43&lt;$F$5,"Overdue",IF(C43&lt;=$F$5+7,"Due within 7 days","Upcoming"))))))</x:f>
      </x:c>
      <x:c r="I43" s="12" t="str">
        <x:f>IF(OR(B43="",C43="",F43="Cancelled"),"",C43*1000+COUNTIFS($C$11:C43,C43,$B$11:B43,"&lt;&gt;",$F$11:F43,"&lt;&gt;Cancelled"))</x:f>
      </x:c>
      <x:c r="J43" s="3"/>
      <x:c r="K43" s="3"/>
      <x:c r="L43" s="3"/>
    </x:row>
    <x:row r="44" ht="23" customHeight="1">
      <x:c r="A44" s="3"/>
      <x:c r="B44" s="10"/>
      <x:c r="C44" s="13"/>
      <x:c r="D44" s="10"/>
      <x:c r="E44" s="10"/>
      <x:c r="F44" s="10"/>
      <x:c r="G44" s="14"/>
      <x:c r="H44" s="12" t="str">
        <x:f>IF(B44="","",IF(F44="Cancelled","Cancelled",IF(F44="Complete","Complete",IF(C44="","Add date",IF(C44&lt;$F$5,"Overdue",IF(C44&lt;=$F$5+7,"Due within 7 days","Upcoming"))))))</x:f>
      </x:c>
      <x:c r="I44" s="12" t="str">
        <x:f>IF(OR(B44="",C44="",F44="Cancelled"),"",C44*1000+COUNTIFS($C$11:C44,C44,$B$11:B44,"&lt;&gt;",$F$11:F44,"&lt;&gt;Cancelled"))</x:f>
      </x:c>
      <x:c r="J44" s="3"/>
      <x:c r="K44" s="3"/>
      <x:c r="L44" s="3"/>
    </x:row>
    <x:row r="45" ht="23" customHeight="1">
      <x:c r="A45" s="3"/>
      <x:c r="B45" s="10"/>
      <x:c r="C45" s="13"/>
      <x:c r="D45" s="10"/>
      <x:c r="E45" s="10"/>
      <x:c r="F45" s="10"/>
      <x:c r="G45" s="14"/>
      <x:c r="H45" s="12" t="str">
        <x:f>IF(B45="","",IF(F45="Cancelled","Cancelled",IF(F45="Complete","Complete",IF(C45="","Add date",IF(C45&lt;$F$5,"Overdue",IF(C45&lt;=$F$5+7,"Due within 7 days","Upcoming"))))))</x:f>
      </x:c>
      <x:c r="I45" s="12" t="str">
        <x:f>IF(OR(B45="",C45="",F45="Cancelled"),"",C45*1000+COUNTIFS($C$11:C45,C45,$B$11:B45,"&lt;&gt;",$F$11:F45,"&lt;&gt;Cancelled"))</x:f>
      </x:c>
      <x:c r="J45" s="3"/>
      <x:c r="K45" s="3"/>
      <x:c r="L45" s="3"/>
    </x:row>
    <x:row r="46" ht="23" customHeight="1">
      <x:c r="A46" s="3"/>
      <x:c r="B46" s="10"/>
      <x:c r="C46" s="13"/>
      <x:c r="D46" s="10"/>
      <x:c r="E46" s="10"/>
      <x:c r="F46" s="10"/>
      <x:c r="G46" s="14"/>
      <x:c r="H46" s="12" t="str">
        <x:f>IF(B46="","",IF(F46="Cancelled","Cancelled",IF(F46="Complete","Complete",IF(C46="","Add date",IF(C46&lt;$F$5,"Overdue",IF(C46&lt;=$F$5+7,"Due within 7 days","Upcoming"))))))</x:f>
      </x:c>
      <x:c r="I46" s="12" t="str">
        <x:f>IF(OR(B46="",C46="",F46="Cancelled"),"",C46*1000+COUNTIFS($C$11:C46,C46,$B$11:B46,"&lt;&gt;",$F$11:F46,"&lt;&gt;Cancelled"))</x:f>
      </x:c>
      <x:c r="J46" s="3"/>
      <x:c r="K46" s="3"/>
      <x:c r="L46" s="3"/>
    </x:row>
    <x:row r="47" ht="23" customHeight="1">
      <x:c r="A47" s="3"/>
      <x:c r="B47" s="10"/>
      <x:c r="C47" s="13"/>
      <x:c r="D47" s="10"/>
      <x:c r="E47" s="10"/>
      <x:c r="F47" s="10"/>
      <x:c r="G47" s="14"/>
      <x:c r="H47" s="12" t="str">
        <x:f>IF(B47="","",IF(F47="Cancelled","Cancelled",IF(F47="Complete","Complete",IF(C47="","Add date",IF(C47&lt;$F$5,"Overdue",IF(C47&lt;=$F$5+7,"Due within 7 days","Upcoming"))))))</x:f>
      </x:c>
      <x:c r="I47" s="12" t="str">
        <x:f>IF(OR(B47="",C47="",F47="Cancelled"),"",C47*1000+COUNTIFS($C$11:C47,C47,$B$11:B47,"&lt;&gt;",$F$11:F47,"&lt;&gt;Cancelled"))</x:f>
      </x:c>
      <x:c r="J47" s="3"/>
      <x:c r="K47" s="3"/>
      <x:c r="L47" s="3"/>
    </x:row>
    <x:row r="48" ht="23" customHeight="1">
      <x:c r="A48" s="3"/>
      <x:c r="B48" s="10"/>
      <x:c r="C48" s="13"/>
      <x:c r="D48" s="10"/>
      <x:c r="E48" s="10"/>
      <x:c r="F48" s="10"/>
      <x:c r="G48" s="14"/>
      <x:c r="H48" s="12" t="str">
        <x:f>IF(B48="","",IF(F48="Cancelled","Cancelled",IF(F48="Complete","Complete",IF(C48="","Add date",IF(C48&lt;$F$5,"Overdue",IF(C48&lt;=$F$5+7,"Due within 7 days","Upcoming"))))))</x:f>
      </x:c>
      <x:c r="I48" s="12" t="str">
        <x:f>IF(OR(B48="",C48="",F48="Cancelled"),"",C48*1000+COUNTIFS($C$11:C48,C48,$B$11:B48,"&lt;&gt;",$F$11:F48,"&lt;&gt;Cancelled"))</x:f>
      </x:c>
      <x:c r="J48" s="3"/>
      <x:c r="K48" s="3"/>
      <x:c r="L48" s="3"/>
    </x:row>
    <x:row r="49" ht="23" customHeight="1">
      <x:c r="A49" s="3"/>
      <x:c r="B49" s="10"/>
      <x:c r="C49" s="13"/>
      <x:c r="D49" s="10"/>
      <x:c r="E49" s="10"/>
      <x:c r="F49" s="10"/>
      <x:c r="G49" s="14"/>
      <x:c r="H49" s="12" t="str">
        <x:f>IF(B49="","",IF(F49="Cancelled","Cancelled",IF(F49="Complete","Complete",IF(C49="","Add date",IF(C49&lt;$F$5,"Overdue",IF(C49&lt;=$F$5+7,"Due within 7 days","Upcoming"))))))</x:f>
      </x:c>
      <x:c r="I49" s="12" t="str">
        <x:f>IF(OR(B49="",C49="",F49="Cancelled"),"",C49*1000+COUNTIFS($C$11:C49,C49,$B$11:B49,"&lt;&gt;",$F$11:F49,"&lt;&gt;Cancelled"))</x:f>
      </x:c>
      <x:c r="J49" s="3"/>
      <x:c r="K49" s="3"/>
      <x:c r="L49" s="3"/>
    </x:row>
    <x:row r="50" ht="23" customHeight="1">
      <x:c r="A50" s="3"/>
      <x:c r="B50" s="10"/>
      <x:c r="C50" s="13"/>
      <x:c r="D50" s="10"/>
      <x:c r="E50" s="10"/>
      <x:c r="F50" s="10"/>
      <x:c r="G50" s="14"/>
      <x:c r="H50" s="12" t="str">
        <x:f>IF(B50="","",IF(F50="Cancelled","Cancelled",IF(F50="Complete","Complete",IF(C50="","Add date",IF(C50&lt;$F$5,"Overdue",IF(C50&lt;=$F$5+7,"Due within 7 days","Upcoming"))))))</x:f>
      </x:c>
      <x:c r="I50" s="12" t="str">
        <x:f>IF(OR(B50="",C50="",F50="Cancelled"),"",C50*1000+COUNTIFS($C$11:C50,C50,$B$11:B50,"&lt;&gt;",$F$11:F50,"&lt;&gt;Cancelled"))</x:f>
      </x:c>
      <x:c r="J50" s="3"/>
      <x:c r="K50" s="3"/>
      <x:c r="L50" s="3"/>
    </x:row>
    <x:row r="51" ht="23" customHeight="1">
      <x:c r="A51" s="3"/>
      <x:c r="B51" s="10"/>
      <x:c r="C51" s="13"/>
      <x:c r="D51" s="10"/>
      <x:c r="E51" s="10"/>
      <x:c r="F51" s="10"/>
      <x:c r="G51" s="14"/>
      <x:c r="H51" s="12" t="str">
        <x:f>IF(B51="","",IF(F51="Cancelled","Cancelled",IF(F51="Complete","Complete",IF(C51="","Add date",IF(C51&lt;$F$5,"Overdue",IF(C51&lt;=$F$5+7,"Due within 7 days","Upcoming"))))))</x:f>
      </x:c>
      <x:c r="I51" s="12" t="str">
        <x:f>IF(OR(B51="",C51="",F51="Cancelled"),"",C51*1000+COUNTIFS($C$11:C51,C51,$B$11:B51,"&lt;&gt;",$F$11:F51,"&lt;&gt;Cancelled"))</x:f>
      </x:c>
      <x:c r="J51" s="3"/>
      <x:c r="K51" s="3"/>
      <x:c r="L51" s="3"/>
    </x:row>
    <x:row r="52" ht="23" customHeight="1">
      <x:c r="A52" s="3"/>
      <x:c r="B52" s="10"/>
      <x:c r="C52" s="13"/>
      <x:c r="D52" s="10"/>
      <x:c r="E52" s="10"/>
      <x:c r="F52" s="10"/>
      <x:c r="G52" s="14"/>
      <x:c r="H52" s="12" t="str">
        <x:f>IF(B52="","",IF(F52="Cancelled","Cancelled",IF(F52="Complete","Complete",IF(C52="","Add date",IF(C52&lt;$F$5,"Overdue",IF(C52&lt;=$F$5+7,"Due within 7 days","Upcoming"))))))</x:f>
      </x:c>
      <x:c r="I52" s="12" t="str">
        <x:f>IF(OR(B52="",C52="",F52="Cancelled"),"",C52*1000+COUNTIFS($C$11:C52,C52,$B$11:B52,"&lt;&gt;",$F$11:F52,"&lt;&gt;Cancelled"))</x:f>
      </x:c>
      <x:c r="J52" s="3"/>
      <x:c r="K52" s="3"/>
      <x:c r="L52" s="3"/>
    </x:row>
    <x:row r="53" ht="23" customHeight="1">
      <x:c r="A53" s="3"/>
      <x:c r="B53" s="10"/>
      <x:c r="C53" s="13"/>
      <x:c r="D53" s="10"/>
      <x:c r="E53" s="10"/>
      <x:c r="F53" s="10"/>
      <x:c r="G53" s="14"/>
      <x:c r="H53" s="12" t="str">
        <x:f>IF(B53="","",IF(F53="Cancelled","Cancelled",IF(F53="Complete","Complete",IF(C53="","Add date",IF(C53&lt;$F$5,"Overdue",IF(C53&lt;=$F$5+7,"Due within 7 days","Upcoming"))))))</x:f>
      </x:c>
      <x:c r="I53" s="12" t="str">
        <x:f>IF(OR(B53="",C53="",F53="Cancelled"),"",C53*1000+COUNTIFS($C$11:C53,C53,$B$11:B53,"&lt;&gt;",$F$11:F53,"&lt;&gt;Cancelled"))</x:f>
      </x:c>
      <x:c r="J53" s="3"/>
      <x:c r="K53" s="3"/>
      <x:c r="L53" s="3"/>
    </x:row>
    <x:row r="54" ht="23" customHeight="1">
      <x:c r="A54" s="3"/>
      <x:c r="B54" s="10"/>
      <x:c r="C54" s="13"/>
      <x:c r="D54" s="10"/>
      <x:c r="E54" s="10"/>
      <x:c r="F54" s="10"/>
      <x:c r="G54" s="14"/>
      <x:c r="H54" s="12" t="str">
        <x:f>IF(B54="","",IF(F54="Cancelled","Cancelled",IF(F54="Complete","Complete",IF(C54="","Add date",IF(C54&lt;$F$5,"Overdue",IF(C54&lt;=$F$5+7,"Due within 7 days","Upcoming"))))))</x:f>
      </x:c>
      <x:c r="I54" s="12" t="str">
        <x:f>IF(OR(B54="",C54="",F54="Cancelled"),"",C54*1000+COUNTIFS($C$11:C54,C54,$B$11:B54,"&lt;&gt;",$F$11:F54,"&lt;&gt;Cancelled"))</x:f>
      </x:c>
      <x:c r="J54" s="3"/>
      <x:c r="K54" s="3"/>
      <x:c r="L54" s="3"/>
    </x:row>
    <x:row r="55" ht="23" customHeight="1">
      <x:c r="A55" s="3"/>
      <x:c r="B55" s="10"/>
      <x:c r="C55" s="13"/>
      <x:c r="D55" s="10"/>
      <x:c r="E55" s="10"/>
      <x:c r="F55" s="10"/>
      <x:c r="G55" s="14"/>
      <x:c r="H55" s="12" t="str">
        <x:f>IF(B55="","",IF(F55="Cancelled","Cancelled",IF(F55="Complete","Complete",IF(C55="","Add date",IF(C55&lt;$F$5,"Overdue",IF(C55&lt;=$F$5+7,"Due within 7 days","Upcoming"))))))</x:f>
      </x:c>
      <x:c r="I55" s="12" t="str">
        <x:f>IF(OR(B55="",C55="",F55="Cancelled"),"",C55*1000+COUNTIFS($C$11:C55,C55,$B$11:B55,"&lt;&gt;",$F$11:F55,"&lt;&gt;Cancelled"))</x:f>
      </x:c>
      <x:c r="J55" s="3"/>
      <x:c r="K55" s="3"/>
      <x:c r="L55" s="3"/>
    </x:row>
    <x:row r="56" ht="23" customHeight="1">
      <x:c r="A56" s="3"/>
      <x:c r="B56" s="10"/>
      <x:c r="C56" s="13"/>
      <x:c r="D56" s="10"/>
      <x:c r="E56" s="10"/>
      <x:c r="F56" s="10"/>
      <x:c r="G56" s="14"/>
      <x:c r="H56" s="12" t="str">
        <x:f>IF(B56="","",IF(F56="Cancelled","Cancelled",IF(F56="Complete","Complete",IF(C56="","Add date",IF(C56&lt;$F$5,"Overdue",IF(C56&lt;=$F$5+7,"Due within 7 days","Upcoming"))))))</x:f>
      </x:c>
      <x:c r="I56" s="12" t="str">
        <x:f>IF(OR(B56="",C56="",F56="Cancelled"),"",C56*1000+COUNTIFS($C$11:C56,C56,$B$11:B56,"&lt;&gt;",$F$11:F56,"&lt;&gt;Cancelled"))</x:f>
      </x:c>
      <x:c r="J56" s="3"/>
      <x:c r="K56" s="3"/>
      <x:c r="L56" s="3"/>
    </x:row>
    <x:row r="57" ht="23" customHeight="1">
      <x:c r="A57" s="3"/>
      <x:c r="B57" s="10"/>
      <x:c r="C57" s="13"/>
      <x:c r="D57" s="10"/>
      <x:c r="E57" s="10"/>
      <x:c r="F57" s="10"/>
      <x:c r="G57" s="14"/>
      <x:c r="H57" s="12" t="str">
        <x:f>IF(B57="","",IF(F57="Cancelled","Cancelled",IF(F57="Complete","Complete",IF(C57="","Add date",IF(C57&lt;$F$5,"Overdue",IF(C57&lt;=$F$5+7,"Due within 7 days","Upcoming"))))))</x:f>
      </x:c>
      <x:c r="I57" s="12" t="str">
        <x:f>IF(OR(B57="",C57="",F57="Cancelled"),"",C57*1000+COUNTIFS($C$11:C57,C57,$B$11:B57,"&lt;&gt;",$F$11:F57,"&lt;&gt;Cancelled"))</x:f>
      </x:c>
      <x:c r="J57" s="3"/>
      <x:c r="K57" s="3"/>
      <x:c r="L57" s="3"/>
    </x:row>
    <x:row r="58" ht="23" customHeight="1">
      <x:c r="A58" s="3"/>
      <x:c r="B58" s="10"/>
      <x:c r="C58" s="13"/>
      <x:c r="D58" s="10"/>
      <x:c r="E58" s="10"/>
      <x:c r="F58" s="10"/>
      <x:c r="G58" s="14"/>
      <x:c r="H58" s="12" t="str">
        <x:f>IF(B58="","",IF(F58="Cancelled","Cancelled",IF(F58="Complete","Complete",IF(C58="","Add date",IF(C58&lt;$F$5,"Overdue",IF(C58&lt;=$F$5+7,"Due within 7 days","Upcoming"))))))</x:f>
      </x:c>
      <x:c r="I58" s="12" t="str">
        <x:f>IF(OR(B58="",C58="",F58="Cancelled"),"",C58*1000+COUNTIFS($C$11:C58,C58,$B$11:B58,"&lt;&gt;",$F$11:F58,"&lt;&gt;Cancelled"))</x:f>
      </x:c>
      <x:c r="J58" s="3"/>
      <x:c r="K58" s="3"/>
      <x:c r="L58" s="3"/>
    </x:row>
    <x:row r="59" ht="23" customHeight="1">
      <x:c r="A59" s="3"/>
      <x:c r="B59" s="10"/>
      <x:c r="C59" s="13"/>
      <x:c r="D59" s="10"/>
      <x:c r="E59" s="10"/>
      <x:c r="F59" s="10"/>
      <x:c r="G59" s="14"/>
      <x:c r="H59" s="12" t="str">
        <x:f>IF(B59="","",IF(F59="Cancelled","Cancelled",IF(F59="Complete","Complete",IF(C59="","Add date",IF(C59&lt;$F$5,"Overdue",IF(C59&lt;=$F$5+7,"Due within 7 days","Upcoming"))))))</x:f>
      </x:c>
      <x:c r="I59" s="12" t="str">
        <x:f>IF(OR(B59="",C59="",F59="Cancelled"),"",C59*1000+COUNTIFS($C$11:C59,C59,$B$11:B59,"&lt;&gt;",$F$11:F59,"&lt;&gt;Cancelled"))</x:f>
      </x:c>
      <x:c r="J59" s="3"/>
      <x:c r="K59" s="3"/>
      <x:c r="L59" s="3"/>
    </x:row>
    <x:row r="60" ht="23" customHeight="1">
      <x:c r="A60" s="3"/>
      <x:c r="B60" s="10"/>
      <x:c r="C60" s="13"/>
      <x:c r="D60" s="10"/>
      <x:c r="E60" s="10"/>
      <x:c r="F60" s="10"/>
      <x:c r="G60" s="14"/>
      <x:c r="H60" s="12" t="str">
        <x:f>IF(B60="","",IF(F60="Cancelled","Cancelled",IF(F60="Complete","Complete",IF(C60="","Add date",IF(C60&lt;$F$5,"Overdue",IF(C60&lt;=$F$5+7,"Due within 7 days","Upcoming"))))))</x:f>
      </x:c>
      <x:c r="I60" s="12" t="str">
        <x:f>IF(OR(B60="",C60="",F60="Cancelled"),"",C60*1000+COUNTIFS($C$11:C60,C60,$B$11:B60,"&lt;&gt;",$F$11:F60,"&lt;&gt;Cancelled"))</x:f>
      </x:c>
      <x:c r="J60" s="3"/>
      <x:c r="K60" s="3"/>
      <x:c r="L60" s="3"/>
    </x:row>
    <x:row r="61" ht="23" customHeight="1">
      <x:c r="A61" s="3"/>
      <x:c r="B61" s="10"/>
      <x:c r="C61" s="13"/>
      <x:c r="D61" s="10"/>
      <x:c r="E61" s="10"/>
      <x:c r="F61" s="10"/>
      <x:c r="G61" s="14"/>
      <x:c r="H61" s="12" t="str">
        <x:f>IF(B61="","",IF(F61="Cancelled","Cancelled",IF(F61="Complete","Complete",IF(C61="","Add date",IF(C61&lt;$F$5,"Overdue",IF(C61&lt;=$F$5+7,"Due within 7 days","Upcoming"))))))</x:f>
      </x:c>
      <x:c r="I61" s="12" t="str">
        <x:f>IF(OR(B61="",C61="",F61="Cancelled"),"",C61*1000+COUNTIFS($C$11:C61,C61,$B$11:B61,"&lt;&gt;",$F$11:F61,"&lt;&gt;Cancelled"))</x:f>
      </x:c>
      <x:c r="J61" s="3"/>
      <x:c r="K61" s="3"/>
      <x:c r="L61" s="3"/>
    </x:row>
    <x:row r="62" ht="23" customHeight="1">
      <x:c r="A62" s="3"/>
      <x:c r="B62" s="10"/>
      <x:c r="C62" s="13"/>
      <x:c r="D62" s="10"/>
      <x:c r="E62" s="10"/>
      <x:c r="F62" s="10"/>
      <x:c r="G62" s="14"/>
      <x:c r="H62" s="12" t="str">
        <x:f>IF(B62="","",IF(F62="Cancelled","Cancelled",IF(F62="Complete","Complete",IF(C62="","Add date",IF(C62&lt;$F$5,"Overdue",IF(C62&lt;=$F$5+7,"Due within 7 days","Upcoming"))))))</x:f>
      </x:c>
      <x:c r="I62" s="12" t="str">
        <x:f>IF(OR(B62="",C62="",F62="Cancelled"),"",C62*1000+COUNTIFS($C$11:C62,C62,$B$11:B62,"&lt;&gt;",$F$11:F62,"&lt;&gt;Cancelled"))</x:f>
      </x:c>
      <x:c r="J62" s="3"/>
      <x:c r="K62" s="3"/>
      <x:c r="L62" s="3"/>
    </x:row>
    <x:row r="63" ht="23" customHeight="1">
      <x:c r="A63" s="3"/>
      <x:c r="B63" s="10"/>
      <x:c r="C63" s="13"/>
      <x:c r="D63" s="10"/>
      <x:c r="E63" s="10"/>
      <x:c r="F63" s="10"/>
      <x:c r="G63" s="14"/>
      <x:c r="H63" s="12" t="str">
        <x:f>IF(B63="","",IF(F63="Cancelled","Cancelled",IF(F63="Complete","Complete",IF(C63="","Add date",IF(C63&lt;$F$5,"Overdue",IF(C63&lt;=$F$5+7,"Due within 7 days","Upcoming"))))))</x:f>
      </x:c>
      <x:c r="I63" s="12" t="str">
        <x:f>IF(OR(B63="",C63="",F63="Cancelled"),"",C63*1000+COUNTIFS($C$11:C63,C63,$B$11:B63,"&lt;&gt;",$F$11:F63,"&lt;&gt;Cancelled"))</x:f>
      </x:c>
      <x:c r="J63" s="3"/>
      <x:c r="K63" s="3"/>
      <x:c r="L63" s="3"/>
    </x:row>
    <x:row r="64" ht="23" customHeight="1">
      <x:c r="A64" s="3"/>
      <x:c r="B64" s="10"/>
      <x:c r="C64" s="13"/>
      <x:c r="D64" s="10"/>
      <x:c r="E64" s="10"/>
      <x:c r="F64" s="10"/>
      <x:c r="G64" s="14"/>
      <x:c r="H64" s="12" t="str">
        <x:f>IF(B64="","",IF(F64="Cancelled","Cancelled",IF(F64="Complete","Complete",IF(C64="","Add date",IF(C64&lt;$F$5,"Overdue",IF(C64&lt;=$F$5+7,"Due within 7 days","Upcoming"))))))</x:f>
      </x:c>
      <x:c r="I64" s="12" t="str">
        <x:f>IF(OR(B64="",C64="",F64="Cancelled"),"",C64*1000+COUNTIFS($C$11:C64,C64,$B$11:B64,"&lt;&gt;",$F$11:F64,"&lt;&gt;Cancelled"))</x:f>
      </x:c>
      <x:c r="J64" s="3"/>
      <x:c r="K64" s="3"/>
      <x:c r="L64" s="3"/>
    </x:row>
    <x:row r="65" ht="23" customHeight="1">
      <x:c r="A65" s="3"/>
      <x:c r="B65" s="10"/>
      <x:c r="C65" s="13"/>
      <x:c r="D65" s="10"/>
      <x:c r="E65" s="10"/>
      <x:c r="F65" s="10"/>
      <x:c r="G65" s="14"/>
      <x:c r="H65" s="12" t="str">
        <x:f>IF(B65="","",IF(F65="Cancelled","Cancelled",IF(F65="Complete","Complete",IF(C65="","Add date",IF(C65&lt;$F$5,"Overdue",IF(C65&lt;=$F$5+7,"Due within 7 days","Upcoming"))))))</x:f>
      </x:c>
      <x:c r="I65" s="12" t="str">
        <x:f>IF(OR(B65="",C65="",F65="Cancelled"),"",C65*1000+COUNTIFS($C$11:C65,C65,$B$11:B65,"&lt;&gt;",$F$11:F65,"&lt;&gt;Cancelled"))</x:f>
      </x:c>
      <x:c r="J65" s="3"/>
      <x:c r="K65" s="3"/>
      <x:c r="L65" s="3"/>
    </x:row>
    <x:row r="66" ht="23" customHeight="1">
      <x:c r="A66" s="3"/>
      <x:c r="B66" s="10"/>
      <x:c r="C66" s="13"/>
      <x:c r="D66" s="10"/>
      <x:c r="E66" s="10"/>
      <x:c r="F66" s="10"/>
      <x:c r="G66" s="14"/>
      <x:c r="H66" s="12" t="str">
        <x:f>IF(B66="","",IF(F66="Cancelled","Cancelled",IF(F66="Complete","Complete",IF(C66="","Add date",IF(C66&lt;$F$5,"Overdue",IF(C66&lt;=$F$5+7,"Due within 7 days","Upcoming"))))))</x:f>
      </x:c>
      <x:c r="I66" s="12" t="str">
        <x:f>IF(OR(B66="",C66="",F66="Cancelled"),"",C66*1000+COUNTIFS($C$11:C66,C66,$B$11:B66,"&lt;&gt;",$F$11:F66,"&lt;&gt;Cancelled"))</x:f>
      </x:c>
      <x:c r="J66" s="3"/>
      <x:c r="K66" s="3"/>
      <x:c r="L66" s="3"/>
    </x:row>
    <x:row r="67" ht="23" customHeight="1">
      <x:c r="A67" s="3"/>
      <x:c r="B67" s="10"/>
      <x:c r="C67" s="13"/>
      <x:c r="D67" s="10"/>
      <x:c r="E67" s="10"/>
      <x:c r="F67" s="10"/>
      <x:c r="G67" s="14"/>
      <x:c r="H67" s="12" t="str">
        <x:f>IF(B67="","",IF(F67="Cancelled","Cancelled",IF(F67="Complete","Complete",IF(C67="","Add date",IF(C67&lt;$F$5,"Overdue",IF(C67&lt;=$F$5+7,"Due within 7 days","Upcoming"))))))</x:f>
      </x:c>
      <x:c r="I67" s="12" t="str">
        <x:f>IF(OR(B67="",C67="",F67="Cancelled"),"",C67*1000+COUNTIFS($C$11:C67,C67,$B$11:B67,"&lt;&gt;",$F$11:F67,"&lt;&gt;Cancelled"))</x:f>
      </x:c>
      <x:c r="J67" s="3"/>
      <x:c r="K67" s="3"/>
      <x:c r="L67" s="3"/>
    </x:row>
    <x:row r="68" ht="23" customHeight="1">
      <x:c r="A68" s="3"/>
      <x:c r="B68" s="10"/>
      <x:c r="C68" s="13"/>
      <x:c r="D68" s="10"/>
      <x:c r="E68" s="10"/>
      <x:c r="F68" s="10"/>
      <x:c r="G68" s="14"/>
      <x:c r="H68" s="12" t="str">
        <x:f>IF(B68="","",IF(F68="Cancelled","Cancelled",IF(F68="Complete","Complete",IF(C68="","Add date",IF(C68&lt;$F$5,"Overdue",IF(C68&lt;=$F$5+7,"Due within 7 days","Upcoming"))))))</x:f>
      </x:c>
      <x:c r="I68" s="12" t="str">
        <x:f>IF(OR(B68="",C68="",F68="Cancelled"),"",C68*1000+COUNTIFS($C$11:C68,C68,$B$11:B68,"&lt;&gt;",$F$11:F68,"&lt;&gt;Cancelled"))</x:f>
      </x:c>
      <x:c r="J68" s="3"/>
      <x:c r="K68" s="3"/>
      <x:c r="L68" s="3"/>
    </x:row>
    <x:row r="69" ht="23" customHeight="1">
      <x:c r="A69" s="3"/>
      <x:c r="B69" s="10"/>
      <x:c r="C69" s="13"/>
      <x:c r="D69" s="10"/>
      <x:c r="E69" s="10"/>
      <x:c r="F69" s="10"/>
      <x:c r="G69" s="14"/>
      <x:c r="H69" s="12" t="str">
        <x:f>IF(B69="","",IF(F69="Cancelled","Cancelled",IF(F69="Complete","Complete",IF(C69="","Add date",IF(C69&lt;$F$5,"Overdue",IF(C69&lt;=$F$5+7,"Due within 7 days","Upcoming"))))))</x:f>
      </x:c>
      <x:c r="I69" s="12" t="str">
        <x:f>IF(OR(B69="",C69="",F69="Cancelled"),"",C69*1000+COUNTIFS($C$11:C69,C69,$B$11:B69,"&lt;&gt;",$F$11:F69,"&lt;&gt;Cancelled"))</x:f>
      </x:c>
      <x:c r="J69" s="3"/>
      <x:c r="K69" s="3"/>
      <x:c r="L69" s="3"/>
    </x:row>
    <x:row r="70" ht="23" customHeight="1">
      <x:c r="A70" s="3"/>
      <x:c r="B70" s="10"/>
      <x:c r="C70" s="13"/>
      <x:c r="D70" s="10"/>
      <x:c r="E70" s="10"/>
      <x:c r="F70" s="10"/>
      <x:c r="G70" s="14"/>
      <x:c r="H70" s="12" t="str">
        <x:f>IF(B70="","",IF(F70="Cancelled","Cancelled",IF(F70="Complete","Complete",IF(C70="","Add date",IF(C70&lt;$F$5,"Overdue",IF(C70&lt;=$F$5+7,"Due within 7 days","Upcoming"))))))</x:f>
      </x:c>
      <x:c r="I70" s="12" t="str">
        <x:f>IF(OR(B70="",C70="",F70="Cancelled"),"",C70*1000+COUNTIFS($C$11:C70,C70,$B$11:B70,"&lt;&gt;",$F$11:F70,"&lt;&gt;Cancelled"))</x:f>
      </x:c>
      <x:c r="J70" s="3"/>
      <x:c r="K70" s="3"/>
      <x:c r="L70" s="3"/>
    </x:row>
    <x:row r="71" ht="23" customHeight="1">
      <x:c r="A71" s="3"/>
      <x:c r="B71" s="10"/>
      <x:c r="C71" s="13"/>
      <x:c r="D71" s="10"/>
      <x:c r="E71" s="10"/>
      <x:c r="F71" s="10"/>
      <x:c r="G71" s="14"/>
      <x:c r="H71" s="12" t="str">
        <x:f>IF(B71="","",IF(F71="Cancelled","Cancelled",IF(F71="Complete","Complete",IF(C71="","Add date",IF(C71&lt;$F$5,"Overdue",IF(C71&lt;=$F$5+7,"Due within 7 days","Upcoming"))))))</x:f>
      </x:c>
      <x:c r="I71" s="12" t="str">
        <x:f>IF(OR(B71="",C71="",F71="Cancelled"),"",C71*1000+COUNTIFS($C$11:C71,C71,$B$11:B71,"&lt;&gt;",$F$11:F71,"&lt;&gt;Cancelled"))</x:f>
      </x:c>
      <x:c r="J71" s="3"/>
      <x:c r="K71" s="3"/>
      <x:c r="L71" s="3"/>
    </x:row>
    <x:row r="72" ht="23" customHeight="1">
      <x:c r="A72" s="3"/>
      <x:c r="B72" s="10"/>
      <x:c r="C72" s="13"/>
      <x:c r="D72" s="10"/>
      <x:c r="E72" s="10"/>
      <x:c r="F72" s="10"/>
      <x:c r="G72" s="14"/>
      <x:c r="H72" s="12" t="str">
        <x:f>IF(B72="","",IF(F72="Cancelled","Cancelled",IF(F72="Complete","Complete",IF(C72="","Add date",IF(C72&lt;$F$5,"Overdue",IF(C72&lt;=$F$5+7,"Due within 7 days","Upcoming"))))))</x:f>
      </x:c>
      <x:c r="I72" s="12" t="str">
        <x:f>IF(OR(B72="",C72="",F72="Cancelled"),"",C72*1000+COUNTIFS($C$11:C72,C72,$B$11:B72,"&lt;&gt;",$F$11:F72,"&lt;&gt;Cancelled"))</x:f>
      </x:c>
      <x:c r="J72" s="3"/>
      <x:c r="K72" s="3"/>
      <x:c r="L72" s="3"/>
    </x:row>
    <x:row r="73" ht="23" customHeight="1">
      <x:c r="A73" s="3"/>
      <x:c r="B73" s="10"/>
      <x:c r="C73" s="13"/>
      <x:c r="D73" s="10"/>
      <x:c r="E73" s="10"/>
      <x:c r="F73" s="10"/>
      <x:c r="G73" s="14"/>
      <x:c r="H73" s="12" t="str">
        <x:f>IF(B73="","",IF(F73="Cancelled","Cancelled",IF(F73="Complete","Complete",IF(C73="","Add date",IF(C73&lt;$F$5,"Overdue",IF(C73&lt;=$F$5+7,"Due within 7 days","Upcoming"))))))</x:f>
      </x:c>
      <x:c r="I73" s="12" t="str">
        <x:f>IF(OR(B73="",C73="",F73="Cancelled"),"",C73*1000+COUNTIFS($C$11:C73,C73,$B$11:B73,"&lt;&gt;",$F$11:F73,"&lt;&gt;Cancelled"))</x:f>
      </x:c>
      <x:c r="J73" s="3"/>
      <x:c r="K73" s="3"/>
      <x:c r="L73" s="3"/>
    </x:row>
    <x:row r="74" ht="23" customHeight="1">
      <x:c r="A74" s="3"/>
      <x:c r="B74" s="10"/>
      <x:c r="C74" s="13"/>
      <x:c r="D74" s="10"/>
      <x:c r="E74" s="10"/>
      <x:c r="F74" s="10"/>
      <x:c r="G74" s="14"/>
      <x:c r="H74" s="12" t="str">
        <x:f>IF(B74="","",IF(F74="Cancelled","Cancelled",IF(F74="Complete","Complete",IF(C74="","Add date",IF(C74&lt;$F$5,"Overdue",IF(C74&lt;=$F$5+7,"Due within 7 days","Upcoming"))))))</x:f>
      </x:c>
      <x:c r="I74" s="12" t="str">
        <x:f>IF(OR(B74="",C74="",F74="Cancelled"),"",C74*1000+COUNTIFS($C$11:C74,C74,$B$11:B74,"&lt;&gt;",$F$11:F74,"&lt;&gt;Cancelled"))</x:f>
      </x:c>
      <x:c r="J74" s="3"/>
      <x:c r="K74" s="3"/>
      <x:c r="L74" s="3"/>
    </x:row>
    <x:row r="75" ht="23" customHeight="1">
      <x:c r="A75" s="3"/>
      <x:c r="B75" s="10"/>
      <x:c r="C75" s="13"/>
      <x:c r="D75" s="10"/>
      <x:c r="E75" s="10"/>
      <x:c r="F75" s="10"/>
      <x:c r="G75" s="14"/>
      <x:c r="H75" s="12" t="str">
        <x:f>IF(B75="","",IF(F75="Cancelled","Cancelled",IF(F75="Complete","Complete",IF(C75="","Add date",IF(C75&lt;$F$5,"Overdue",IF(C75&lt;=$F$5+7,"Due within 7 days","Upcoming"))))))</x:f>
      </x:c>
      <x:c r="I75" s="12" t="str">
        <x:f>IF(OR(B75="",C75="",F75="Cancelled"),"",C75*1000+COUNTIFS($C$11:C75,C75,$B$11:B75,"&lt;&gt;",$F$11:F75,"&lt;&gt;Cancelled"))</x:f>
      </x:c>
      <x:c r="J75" s="3"/>
      <x:c r="K75" s="3"/>
      <x:c r="L75" s="3"/>
    </x:row>
    <x:row r="76" ht="23" customHeight="1">
      <x:c r="A76" s="3"/>
      <x:c r="B76" s="10"/>
      <x:c r="C76" s="13"/>
      <x:c r="D76" s="10"/>
      <x:c r="E76" s="10"/>
      <x:c r="F76" s="10"/>
      <x:c r="G76" s="14"/>
      <x:c r="H76" s="12" t="str">
        <x:f>IF(B76="","",IF(F76="Cancelled","Cancelled",IF(F76="Complete","Complete",IF(C76="","Add date",IF(C76&lt;$F$5,"Overdue",IF(C76&lt;=$F$5+7,"Due within 7 days","Upcoming"))))))</x:f>
      </x:c>
      <x:c r="I76" s="12" t="str">
        <x:f>IF(OR(B76="",C76="",F76="Cancelled"),"",C76*1000+COUNTIFS($C$11:C76,C76,$B$11:B76,"&lt;&gt;",$F$11:F76,"&lt;&gt;Cancelled"))</x:f>
      </x:c>
      <x:c r="J76" s="3"/>
      <x:c r="K76" s="3"/>
      <x:c r="L76" s="3"/>
    </x:row>
    <x:row r="77" ht="23" customHeight="1">
      <x:c r="A77" s="3"/>
      <x:c r="B77" s="10"/>
      <x:c r="C77" s="13"/>
      <x:c r="D77" s="10"/>
      <x:c r="E77" s="10"/>
      <x:c r="F77" s="10"/>
      <x:c r="G77" s="14"/>
      <x:c r="H77" s="12" t="str">
        <x:f>IF(B77="","",IF(F77="Cancelled","Cancelled",IF(F77="Complete","Complete",IF(C77="","Add date",IF(C77&lt;$F$5,"Overdue",IF(C77&lt;=$F$5+7,"Due within 7 days","Upcoming"))))))</x:f>
      </x:c>
      <x:c r="I77" s="12" t="str">
        <x:f>IF(OR(B77="",C77="",F77="Cancelled"),"",C77*1000+COUNTIFS($C$11:C77,C77,$B$11:B77,"&lt;&gt;",$F$11:F77,"&lt;&gt;Cancelled"))</x:f>
      </x:c>
      <x:c r="J77" s="3"/>
      <x:c r="K77" s="3"/>
      <x:c r="L77" s="3"/>
    </x:row>
    <x:row r="78" ht="23" customHeight="1">
      <x:c r="A78" s="3"/>
      <x:c r="B78" s="10"/>
      <x:c r="C78" s="13"/>
      <x:c r="D78" s="10"/>
      <x:c r="E78" s="10"/>
      <x:c r="F78" s="10"/>
      <x:c r="G78" s="14"/>
      <x:c r="H78" s="12" t="str">
        <x:f>IF(B78="","",IF(F78="Cancelled","Cancelled",IF(F78="Complete","Complete",IF(C78="","Add date",IF(C78&lt;$F$5,"Overdue",IF(C78&lt;=$F$5+7,"Due within 7 days","Upcoming"))))))</x:f>
      </x:c>
      <x:c r="I78" s="12" t="str">
        <x:f>IF(OR(B78="",C78="",F78="Cancelled"),"",C78*1000+COUNTIFS($C$11:C78,C78,$B$11:B78,"&lt;&gt;",$F$11:F78,"&lt;&gt;Cancelled"))</x:f>
      </x:c>
      <x:c r="J78" s="3"/>
      <x:c r="K78" s="3"/>
      <x:c r="L78" s="3"/>
    </x:row>
    <x:row r="79" ht="23" customHeight="1">
      <x:c r="A79" s="3"/>
      <x:c r="B79" s="10"/>
      <x:c r="C79" s="13"/>
      <x:c r="D79" s="10"/>
      <x:c r="E79" s="10"/>
      <x:c r="F79" s="10"/>
      <x:c r="G79" s="14"/>
      <x:c r="H79" s="12" t="str">
        <x:f>IF(B79="","",IF(F79="Cancelled","Cancelled",IF(F79="Complete","Complete",IF(C79="","Add date",IF(C79&lt;$F$5,"Overdue",IF(C79&lt;=$F$5+7,"Due within 7 days","Upcoming"))))))</x:f>
      </x:c>
      <x:c r="I79" s="12" t="str">
        <x:f>IF(OR(B79="",C79="",F79="Cancelled"),"",C79*1000+COUNTIFS($C$11:C79,C79,$B$11:B79,"&lt;&gt;",$F$11:F79,"&lt;&gt;Cancelled"))</x:f>
      </x:c>
      <x:c r="J79" s="3"/>
      <x:c r="K79" s="3"/>
      <x:c r="L79" s="3"/>
    </x:row>
    <x:row r="80" ht="23" customHeight="1">
      <x:c r="A80" s="3"/>
      <x:c r="B80" s="10"/>
      <x:c r="C80" s="13"/>
      <x:c r="D80" s="10"/>
      <x:c r="E80" s="10"/>
      <x:c r="F80" s="10"/>
      <x:c r="G80" s="14"/>
      <x:c r="H80" s="12" t="str">
        <x:f>IF(B80="","",IF(F80="Cancelled","Cancelled",IF(F80="Complete","Complete",IF(C80="","Add date",IF(C80&lt;$F$5,"Overdue",IF(C80&lt;=$F$5+7,"Due within 7 days","Upcoming"))))))</x:f>
      </x:c>
      <x:c r="I80" s="12" t="str">
        <x:f>IF(OR(B80="",C80="",F80="Cancelled"),"",C80*1000+COUNTIFS($C$11:C80,C80,$B$11:B80,"&lt;&gt;",$F$11:F80,"&lt;&gt;Cancelled"))</x:f>
      </x:c>
      <x:c r="J80" s="3"/>
      <x:c r="K80" s="3"/>
      <x:c r="L80" s="3"/>
    </x:row>
    <x:row r="81" ht="23" customHeight="1">
      <x:c r="A81" s="3"/>
      <x:c r="B81" s="10"/>
      <x:c r="C81" s="13"/>
      <x:c r="D81" s="10"/>
      <x:c r="E81" s="10"/>
      <x:c r="F81" s="10"/>
      <x:c r="G81" s="14"/>
      <x:c r="H81" s="12" t="str">
        <x:f>IF(B81="","",IF(F81="Cancelled","Cancelled",IF(F81="Complete","Complete",IF(C81="","Add date",IF(C81&lt;$F$5,"Overdue",IF(C81&lt;=$F$5+7,"Due within 7 days","Upcoming"))))))</x:f>
      </x:c>
      <x:c r="I81" s="12" t="str">
        <x:f>IF(OR(B81="",C81="",F81="Cancelled"),"",C81*1000+COUNTIFS($C$11:C81,C81,$B$11:B81,"&lt;&gt;",$F$11:F81,"&lt;&gt;Cancelled"))</x:f>
      </x:c>
      <x:c r="J81" s="3"/>
      <x:c r="K81" s="3"/>
      <x:c r="L81" s="3"/>
    </x:row>
    <x:row r="82" ht="23" customHeight="1">
      <x:c r="A82" s="3"/>
      <x:c r="B82" s="10"/>
      <x:c r="C82" s="13"/>
      <x:c r="D82" s="10"/>
      <x:c r="E82" s="10"/>
      <x:c r="F82" s="10"/>
      <x:c r="G82" s="14"/>
      <x:c r="H82" s="12" t="str">
        <x:f>IF(B82="","",IF(F82="Cancelled","Cancelled",IF(F82="Complete","Complete",IF(C82="","Add date",IF(C82&lt;$F$5,"Overdue",IF(C82&lt;=$F$5+7,"Due within 7 days","Upcoming"))))))</x:f>
      </x:c>
      <x:c r="I82" s="12" t="str">
        <x:f>IF(OR(B82="",C82="",F82="Cancelled"),"",C82*1000+COUNTIFS($C$11:C82,C82,$B$11:B82,"&lt;&gt;",$F$11:F82,"&lt;&gt;Cancelled"))</x:f>
      </x:c>
      <x:c r="J82" s="3"/>
      <x:c r="K82" s="3"/>
      <x:c r="L82" s="3"/>
    </x:row>
    <x:row r="83" ht="23" customHeight="1">
      <x:c r="A83" s="3"/>
      <x:c r="B83" s="10"/>
      <x:c r="C83" s="13"/>
      <x:c r="D83" s="10"/>
      <x:c r="E83" s="10"/>
      <x:c r="F83" s="10"/>
      <x:c r="G83" s="14"/>
      <x:c r="H83" s="12" t="str">
        <x:f>IF(B83="","",IF(F83="Cancelled","Cancelled",IF(F83="Complete","Complete",IF(C83="","Add date",IF(C83&lt;$F$5,"Overdue",IF(C83&lt;=$F$5+7,"Due within 7 days","Upcoming"))))))</x:f>
      </x:c>
      <x:c r="I83" s="12" t="str">
        <x:f>IF(OR(B83="",C83="",F83="Cancelled"),"",C83*1000+COUNTIFS($C$11:C83,C83,$B$11:B83,"&lt;&gt;",$F$11:F83,"&lt;&gt;Cancelled"))</x:f>
      </x:c>
      <x:c r="J83" s="3"/>
      <x:c r="K83" s="3"/>
      <x:c r="L83" s="3"/>
    </x:row>
    <x:row r="84" ht="23" customHeight="1">
      <x:c r="A84" s="3"/>
      <x:c r="B84" s="10"/>
      <x:c r="C84" s="13"/>
      <x:c r="D84" s="10"/>
      <x:c r="E84" s="10"/>
      <x:c r="F84" s="10"/>
      <x:c r="G84" s="14"/>
      <x:c r="H84" s="12" t="str">
        <x:f>IF(B84="","",IF(F84="Cancelled","Cancelled",IF(F84="Complete","Complete",IF(C84="","Add date",IF(C84&lt;$F$5,"Overdue",IF(C84&lt;=$F$5+7,"Due within 7 days","Upcoming"))))))</x:f>
      </x:c>
      <x:c r="I84" s="12" t="str">
        <x:f>IF(OR(B84="",C84="",F84="Cancelled"),"",C84*1000+COUNTIFS($C$11:C84,C84,$B$11:B84,"&lt;&gt;",$F$11:F84,"&lt;&gt;Cancelled"))</x:f>
      </x:c>
      <x:c r="J84" s="3"/>
      <x:c r="K84" s="3"/>
      <x:c r="L84" s="3"/>
    </x:row>
    <x:row r="85" ht="23" customHeight="1">
      <x:c r="A85" s="3"/>
      <x:c r="B85" s="10"/>
      <x:c r="C85" s="13"/>
      <x:c r="D85" s="10"/>
      <x:c r="E85" s="10"/>
      <x:c r="F85" s="10"/>
      <x:c r="G85" s="14"/>
      <x:c r="H85" s="12" t="str">
        <x:f>IF(B85="","",IF(F85="Cancelled","Cancelled",IF(F85="Complete","Complete",IF(C85="","Add date",IF(C85&lt;$F$5,"Overdue",IF(C85&lt;=$F$5+7,"Due within 7 days","Upcoming"))))))</x:f>
      </x:c>
      <x:c r="I85" s="12" t="str">
        <x:f>IF(OR(B85="",C85="",F85="Cancelled"),"",C85*1000+COUNTIFS($C$11:C85,C85,$B$11:B85,"&lt;&gt;",$F$11:F85,"&lt;&gt;Cancelled"))</x:f>
      </x:c>
      <x:c r="J85" s="3"/>
      <x:c r="K85" s="3"/>
      <x:c r="L85" s="3"/>
    </x:row>
    <x:row r="86" ht="23" customHeight="1">
      <x:c r="A86" s="3"/>
      <x:c r="B86" s="10"/>
      <x:c r="C86" s="13"/>
      <x:c r="D86" s="10"/>
      <x:c r="E86" s="10"/>
      <x:c r="F86" s="10"/>
      <x:c r="G86" s="14"/>
      <x:c r="H86" s="12" t="str">
        <x:f>IF(B86="","",IF(F86="Cancelled","Cancelled",IF(F86="Complete","Complete",IF(C86="","Add date",IF(C86&lt;$F$5,"Overdue",IF(C86&lt;=$F$5+7,"Due within 7 days","Upcoming"))))))</x:f>
      </x:c>
      <x:c r="I86" s="12" t="str">
        <x:f>IF(OR(B86="",C86="",F86="Cancelled"),"",C86*1000+COUNTIFS($C$11:C86,C86,$B$11:B86,"&lt;&gt;",$F$11:F86,"&lt;&gt;Cancelled"))</x:f>
      </x:c>
      <x:c r="J86" s="3"/>
      <x:c r="K86" s="3"/>
      <x:c r="L86" s="3"/>
    </x:row>
    <x:row r="87" ht="23" customHeight="1">
      <x:c r="A87" s="3"/>
      <x:c r="B87" s="10"/>
      <x:c r="C87" s="13"/>
      <x:c r="D87" s="10"/>
      <x:c r="E87" s="10"/>
      <x:c r="F87" s="10"/>
      <x:c r="G87" s="14"/>
      <x:c r="H87" s="12" t="str">
        <x:f>IF(B87="","",IF(F87="Cancelled","Cancelled",IF(F87="Complete","Complete",IF(C87="","Add date",IF(C87&lt;$F$5,"Overdue",IF(C87&lt;=$F$5+7,"Due within 7 days","Upcoming"))))))</x:f>
      </x:c>
      <x:c r="I87" s="12" t="str">
        <x:f>IF(OR(B87="",C87="",F87="Cancelled"),"",C87*1000+COUNTIFS($C$11:C87,C87,$B$11:B87,"&lt;&gt;",$F$11:F87,"&lt;&gt;Cancelled"))</x:f>
      </x:c>
      <x:c r="J87" s="3"/>
      <x:c r="K87" s="3"/>
      <x:c r="L87" s="3"/>
    </x:row>
    <x:row r="88" ht="23" customHeight="1">
      <x:c r="A88" s="3"/>
      <x:c r="B88" s="10"/>
      <x:c r="C88" s="13"/>
      <x:c r="D88" s="10"/>
      <x:c r="E88" s="10"/>
      <x:c r="F88" s="10"/>
      <x:c r="G88" s="14"/>
      <x:c r="H88" s="12" t="str">
        <x:f>IF(B88="","",IF(F88="Cancelled","Cancelled",IF(F88="Complete","Complete",IF(C88="","Add date",IF(C88&lt;$F$5,"Overdue",IF(C88&lt;=$F$5+7,"Due within 7 days","Upcoming"))))))</x:f>
      </x:c>
      <x:c r="I88" s="12" t="str">
        <x:f>IF(OR(B88="",C88="",F88="Cancelled"),"",C88*1000+COUNTIFS($C$11:C88,C88,$B$11:B88,"&lt;&gt;",$F$11:F88,"&lt;&gt;Cancelled"))</x:f>
      </x:c>
      <x:c r="J88" s="3"/>
      <x:c r="K88" s="3"/>
      <x:c r="L88" s="3"/>
    </x:row>
    <x:row r="89" ht="23" customHeight="1">
      <x:c r="A89" s="3"/>
      <x:c r="B89" s="10"/>
      <x:c r="C89" s="13"/>
      <x:c r="D89" s="10"/>
      <x:c r="E89" s="10"/>
      <x:c r="F89" s="10"/>
      <x:c r="G89" s="14"/>
      <x:c r="H89" s="12" t="str">
        <x:f>IF(B89="","",IF(F89="Cancelled","Cancelled",IF(F89="Complete","Complete",IF(C89="","Add date",IF(C89&lt;$F$5,"Overdue",IF(C89&lt;=$F$5+7,"Due within 7 days","Upcoming"))))))</x:f>
      </x:c>
      <x:c r="I89" s="12" t="str">
        <x:f>IF(OR(B89="",C89="",F89="Cancelled"),"",C89*1000+COUNTIFS($C$11:C89,C89,$B$11:B89,"&lt;&gt;",$F$11:F89,"&lt;&gt;Cancelled"))</x:f>
      </x:c>
      <x:c r="J89" s="3"/>
      <x:c r="K89" s="3"/>
      <x:c r="L89" s="3"/>
    </x:row>
    <x:row r="90" ht="23" customHeight="1">
      <x:c r="A90" s="3"/>
      <x:c r="B90" s="10"/>
      <x:c r="C90" s="13"/>
      <x:c r="D90" s="10"/>
      <x:c r="E90" s="10"/>
      <x:c r="F90" s="10"/>
      <x:c r="G90" s="14"/>
      <x:c r="H90" s="12" t="str">
        <x:f>IF(B90="","",IF(F90="Cancelled","Cancelled",IF(F90="Complete","Complete",IF(C90="","Add date",IF(C90&lt;$F$5,"Overdue",IF(C90&lt;=$F$5+7,"Due within 7 days","Upcoming"))))))</x:f>
      </x:c>
      <x:c r="I90" s="12" t="str">
        <x:f>IF(OR(B90="",C90="",F90="Cancelled"),"",C90*1000+COUNTIFS($C$11:C90,C90,$B$11:B90,"&lt;&gt;",$F$11:F90,"&lt;&gt;Cancelled"))</x:f>
      </x:c>
      <x:c r="J90" s="3"/>
      <x:c r="K90" s="3"/>
      <x:c r="L90" s="3"/>
    </x:row>
    <x:row r="91" ht="23" customHeight="1">
      <x:c r="A91" s="3"/>
      <x:c r="B91" s="10"/>
      <x:c r="C91" s="13"/>
      <x:c r="D91" s="10"/>
      <x:c r="E91" s="10"/>
      <x:c r="F91" s="10"/>
      <x:c r="G91" s="14"/>
      <x:c r="H91" s="12" t="str">
        <x:f>IF(B91="","",IF(F91="Cancelled","Cancelled",IF(F91="Complete","Complete",IF(C91="","Add date",IF(C91&lt;$F$5,"Overdue",IF(C91&lt;=$F$5+7,"Due within 7 days","Upcoming"))))))</x:f>
      </x:c>
      <x:c r="I91" s="12" t="str">
        <x:f>IF(OR(B91="",C91="",F91="Cancelled"),"",C91*1000+COUNTIFS($C$11:C91,C91,$B$11:B91,"&lt;&gt;",$F$11:F91,"&lt;&gt;Cancelled"))</x:f>
      </x:c>
      <x:c r="J91" s="3"/>
      <x:c r="K91" s="3"/>
      <x:c r="L91" s="3"/>
    </x:row>
    <x:row r="92" ht="23" customHeight="1">
      <x:c r="A92" s="3"/>
      <x:c r="B92" s="10"/>
      <x:c r="C92" s="13"/>
      <x:c r="D92" s="10"/>
      <x:c r="E92" s="10"/>
      <x:c r="F92" s="10"/>
      <x:c r="G92" s="14"/>
      <x:c r="H92" s="12" t="str">
        <x:f>IF(B92="","",IF(F92="Cancelled","Cancelled",IF(F92="Complete","Complete",IF(C92="","Add date",IF(C92&lt;$F$5,"Overdue",IF(C92&lt;=$F$5+7,"Due within 7 days","Upcoming"))))))</x:f>
      </x:c>
      <x:c r="I92" s="12" t="str">
        <x:f>IF(OR(B92="",C92="",F92="Cancelled"),"",C92*1000+COUNTIFS($C$11:C92,C92,$B$11:B92,"&lt;&gt;",$F$11:F92,"&lt;&gt;Cancelled"))</x:f>
      </x:c>
      <x:c r="J92" s="3"/>
      <x:c r="K92" s="3"/>
      <x:c r="L92" s="3"/>
    </x:row>
    <x:row r="93" ht="23" customHeight="1">
      <x:c r="A93" s="3"/>
      <x:c r="B93" s="10"/>
      <x:c r="C93" s="13"/>
      <x:c r="D93" s="10"/>
      <x:c r="E93" s="10"/>
      <x:c r="F93" s="10"/>
      <x:c r="G93" s="14"/>
      <x:c r="H93" s="12" t="str">
        <x:f>IF(B93="","",IF(F93="Cancelled","Cancelled",IF(F93="Complete","Complete",IF(C93="","Add date",IF(C93&lt;$F$5,"Overdue",IF(C93&lt;=$F$5+7,"Due within 7 days","Upcoming"))))))</x:f>
      </x:c>
      <x:c r="I93" s="12" t="str">
        <x:f>IF(OR(B93="",C93="",F93="Cancelled"),"",C93*1000+COUNTIFS($C$11:C93,C93,$B$11:B93,"&lt;&gt;",$F$11:F93,"&lt;&gt;Cancelled"))</x:f>
      </x:c>
      <x:c r="J93" s="3"/>
      <x:c r="K93" s="3"/>
      <x:c r="L93" s="3"/>
    </x:row>
    <x:row r="94" ht="23" customHeight="1">
      <x:c r="A94" s="3"/>
      <x:c r="B94" s="10"/>
      <x:c r="C94" s="13"/>
      <x:c r="D94" s="10"/>
      <x:c r="E94" s="10"/>
      <x:c r="F94" s="10"/>
      <x:c r="G94" s="14"/>
      <x:c r="H94" s="12" t="str">
        <x:f>IF(B94="","",IF(F94="Cancelled","Cancelled",IF(F94="Complete","Complete",IF(C94="","Add date",IF(C94&lt;$F$5,"Overdue",IF(C94&lt;=$F$5+7,"Due within 7 days","Upcoming"))))))</x:f>
      </x:c>
      <x:c r="I94" s="12" t="str">
        <x:f>IF(OR(B94="",C94="",F94="Cancelled"),"",C94*1000+COUNTIFS($C$11:C94,C94,$B$11:B94,"&lt;&gt;",$F$11:F94,"&lt;&gt;Cancelled"))</x:f>
      </x:c>
      <x:c r="J94" s="3"/>
      <x:c r="K94" s="3"/>
      <x:c r="L94" s="3"/>
    </x:row>
    <x:row r="95" ht="23" customHeight="1">
      <x:c r="A95" s="3"/>
      <x:c r="B95" s="10"/>
      <x:c r="C95" s="13"/>
      <x:c r="D95" s="10"/>
      <x:c r="E95" s="10"/>
      <x:c r="F95" s="10"/>
      <x:c r="G95" s="14"/>
      <x:c r="H95" s="12" t="str">
        <x:f>IF(B95="","",IF(F95="Cancelled","Cancelled",IF(F95="Complete","Complete",IF(C95="","Add date",IF(C95&lt;$F$5,"Overdue",IF(C95&lt;=$F$5+7,"Due within 7 days","Upcoming"))))))</x:f>
      </x:c>
      <x:c r="I95" s="12" t="str">
        <x:f>IF(OR(B95="",C95="",F95="Cancelled"),"",C95*1000+COUNTIFS($C$11:C95,C95,$B$11:B95,"&lt;&gt;",$F$11:F95,"&lt;&gt;Cancelled"))</x:f>
      </x:c>
      <x:c r="J95" s="3"/>
      <x:c r="K95" s="3"/>
      <x:c r="L95" s="3"/>
    </x:row>
    <x:row r="96" ht="23" customHeight="1">
      <x:c r="A96" s="3"/>
      <x:c r="B96" s="10"/>
      <x:c r="C96" s="13"/>
      <x:c r="D96" s="10"/>
      <x:c r="E96" s="10"/>
      <x:c r="F96" s="10"/>
      <x:c r="G96" s="14"/>
      <x:c r="H96" s="12" t="str">
        <x:f>IF(B96="","",IF(F96="Cancelled","Cancelled",IF(F96="Complete","Complete",IF(C96="","Add date",IF(C96&lt;$F$5,"Overdue",IF(C96&lt;=$F$5+7,"Due within 7 days","Upcoming"))))))</x:f>
      </x:c>
      <x:c r="I96" s="12" t="str">
        <x:f>IF(OR(B96="",C96="",F96="Cancelled"),"",C96*1000+COUNTIFS($C$11:C96,C96,$B$11:B96,"&lt;&gt;",$F$11:F96,"&lt;&gt;Cancelled"))</x:f>
      </x:c>
      <x:c r="J96" s="3"/>
      <x:c r="K96" s="3"/>
      <x:c r="L96" s="3"/>
    </x:row>
    <x:row r="97" ht="23" customHeight="1">
      <x:c r="A97" s="3"/>
      <x:c r="B97" s="10"/>
      <x:c r="C97" s="13"/>
      <x:c r="D97" s="10"/>
      <x:c r="E97" s="10"/>
      <x:c r="F97" s="10"/>
      <x:c r="G97" s="14"/>
      <x:c r="H97" s="12" t="str">
        <x:f>IF(B97="","",IF(F97="Cancelled","Cancelled",IF(F97="Complete","Complete",IF(C97="","Add date",IF(C97&lt;$F$5,"Overdue",IF(C97&lt;=$F$5+7,"Due within 7 days","Upcoming"))))))</x:f>
      </x:c>
      <x:c r="I97" s="12" t="str">
        <x:f>IF(OR(B97="",C97="",F97="Cancelled"),"",C97*1000+COUNTIFS($C$11:C97,C97,$B$11:B97,"&lt;&gt;",$F$11:F97,"&lt;&gt;Cancelled"))</x:f>
      </x:c>
      <x:c r="J97" s="3"/>
      <x:c r="K97" s="3"/>
      <x:c r="L97" s="3"/>
    </x:row>
    <x:row r="98" ht="23" customHeight="1">
      <x:c r="A98" s="3"/>
      <x:c r="B98" s="10"/>
      <x:c r="C98" s="13"/>
      <x:c r="D98" s="10"/>
      <x:c r="E98" s="10"/>
      <x:c r="F98" s="10"/>
      <x:c r="G98" s="14"/>
      <x:c r="H98" s="12" t="str">
        <x:f>IF(B98="","",IF(F98="Cancelled","Cancelled",IF(F98="Complete","Complete",IF(C98="","Add date",IF(C98&lt;$F$5,"Overdue",IF(C98&lt;=$F$5+7,"Due within 7 days","Upcoming"))))))</x:f>
      </x:c>
      <x:c r="I98" s="12" t="str">
        <x:f>IF(OR(B98="",C98="",F98="Cancelled"),"",C98*1000+COUNTIFS($C$11:C98,C98,$B$11:B98,"&lt;&gt;",$F$11:F98,"&lt;&gt;Cancelled"))</x:f>
      </x:c>
      <x:c r="J98" s="3"/>
      <x:c r="K98" s="3"/>
      <x:c r="L98" s="3"/>
    </x:row>
    <x:row r="99" ht="23" customHeight="1">
      <x:c r="A99" s="3"/>
      <x:c r="B99" s="10"/>
      <x:c r="C99" s="13"/>
      <x:c r="D99" s="10"/>
      <x:c r="E99" s="10"/>
      <x:c r="F99" s="10"/>
      <x:c r="G99" s="14"/>
      <x:c r="H99" s="12" t="str">
        <x:f>IF(B99="","",IF(F99="Cancelled","Cancelled",IF(F99="Complete","Complete",IF(C99="","Add date",IF(C99&lt;$F$5,"Overdue",IF(C99&lt;=$F$5+7,"Due within 7 days","Upcoming"))))))</x:f>
      </x:c>
      <x:c r="I99" s="12" t="str">
        <x:f>IF(OR(B99="",C99="",F99="Cancelled"),"",C99*1000+COUNTIFS($C$11:C99,C99,$B$11:B99,"&lt;&gt;",$F$11:F99,"&lt;&gt;Cancelled"))</x:f>
      </x:c>
      <x:c r="J99" s="3"/>
      <x:c r="K99" s="3"/>
      <x:c r="L99" s="3"/>
    </x:row>
    <x:row r="100" ht="23" customHeight="1">
      <x:c r="A100" s="3"/>
      <x:c r="B100" s="10"/>
      <x:c r="C100" s="13"/>
      <x:c r="D100" s="10"/>
      <x:c r="E100" s="10"/>
      <x:c r="F100" s="10"/>
      <x:c r="G100" s="14"/>
      <x:c r="H100" s="12" t="str">
        <x:f>IF(B100="","",IF(F100="Cancelled","Cancelled",IF(F100="Complete","Complete",IF(C100="","Add date",IF(C100&lt;$F$5,"Overdue",IF(C100&lt;=$F$5+7,"Due within 7 days","Upcoming"))))))</x:f>
      </x:c>
      <x:c r="I100" s="12" t="str">
        <x:f>IF(OR(B100="",C100="",F100="Cancelled"),"",C100*1000+COUNTIFS($C$11:C100,C100,$B$11:B100,"&lt;&gt;",$F$11:F100,"&lt;&gt;Cancelled"))</x:f>
      </x:c>
      <x:c r="J100" s="3"/>
      <x:c r="K100" s="3"/>
      <x:c r="L100" s="3"/>
    </x:row>
    <x:row r="101" ht="23" customHeight="1">
      <x:c r="A101" s="3"/>
      <x:c r="B101" s="10"/>
      <x:c r="C101" s="13"/>
      <x:c r="D101" s="10"/>
      <x:c r="E101" s="10"/>
      <x:c r="F101" s="10"/>
      <x:c r="G101" s="14"/>
      <x:c r="H101" s="12" t="str">
        <x:f>IF(B101="","",IF(F101="Cancelled","Cancelled",IF(F101="Complete","Complete",IF(C101="","Add date",IF(C101&lt;$F$5,"Overdue",IF(C101&lt;=$F$5+7,"Due within 7 days","Upcoming"))))))</x:f>
      </x:c>
      <x:c r="I101" s="12" t="str">
        <x:f>IF(OR(B101="",C101="",F101="Cancelled"),"",C101*1000+COUNTIFS($C$11:C101,C101,$B$11:B101,"&lt;&gt;",$F$11:F101,"&lt;&gt;Cancelled"))</x:f>
      </x:c>
      <x:c r="J101" s="3"/>
      <x:c r="K101" s="3"/>
      <x:c r="L101" s="3"/>
    </x:row>
    <x:row r="102" ht="23" customHeight="1">
      <x:c r="A102" s="3"/>
      <x:c r="B102" s="10"/>
      <x:c r="C102" s="13"/>
      <x:c r="D102" s="10"/>
      <x:c r="E102" s="10"/>
      <x:c r="F102" s="10"/>
      <x:c r="G102" s="14"/>
      <x:c r="H102" s="12" t="str">
        <x:f>IF(B102="","",IF(F102="Cancelled","Cancelled",IF(F102="Complete","Complete",IF(C102="","Add date",IF(C102&lt;$F$5,"Overdue",IF(C102&lt;=$F$5+7,"Due within 7 days","Upcoming"))))))</x:f>
      </x:c>
      <x:c r="I102" s="12" t="str">
        <x:f>IF(OR(B102="",C102="",F102="Cancelled"),"",C102*1000+COUNTIFS($C$11:C102,C102,$B$11:B102,"&lt;&gt;",$F$11:F102,"&lt;&gt;Cancelled"))</x:f>
      </x:c>
      <x:c r="J102" s="3"/>
      <x:c r="K102" s="3"/>
      <x:c r="L102" s="3"/>
    </x:row>
    <x:row r="103" ht="23" customHeight="1">
      <x:c r="A103" s="3"/>
      <x:c r="B103" s="10"/>
      <x:c r="C103" s="13"/>
      <x:c r="D103" s="10"/>
      <x:c r="E103" s="10"/>
      <x:c r="F103" s="10"/>
      <x:c r="G103" s="14"/>
      <x:c r="H103" s="12" t="str">
        <x:f>IF(B103="","",IF(F103="Cancelled","Cancelled",IF(F103="Complete","Complete",IF(C103="","Add date",IF(C103&lt;$F$5,"Overdue",IF(C103&lt;=$F$5+7,"Due within 7 days","Upcoming"))))))</x:f>
      </x:c>
      <x:c r="I103" s="12" t="str">
        <x:f>IF(OR(B103="",C103="",F103="Cancelled"),"",C103*1000+COUNTIFS($C$11:C103,C103,$B$11:B103,"&lt;&gt;",$F$11:F103,"&lt;&gt;Cancelled"))</x:f>
      </x:c>
      <x:c r="J103" s="3"/>
      <x:c r="K103" s="3"/>
      <x:c r="L103" s="3"/>
    </x:row>
    <x:row r="104" ht="23" customHeight="1">
      <x:c r="A104" s="3"/>
      <x:c r="B104" s="10"/>
      <x:c r="C104" s="13"/>
      <x:c r="D104" s="10"/>
      <x:c r="E104" s="10"/>
      <x:c r="F104" s="10"/>
      <x:c r="G104" s="14"/>
      <x:c r="H104" s="12" t="str">
        <x:f>IF(B104="","",IF(F104="Cancelled","Cancelled",IF(F104="Complete","Complete",IF(C104="","Add date",IF(C104&lt;$F$5,"Overdue",IF(C104&lt;=$F$5+7,"Due within 7 days","Upcoming"))))))</x:f>
      </x:c>
      <x:c r="I104" s="12" t="str">
        <x:f>IF(OR(B104="",C104="",F104="Cancelled"),"",C104*1000+COUNTIFS($C$11:C104,C104,$B$11:B104,"&lt;&gt;",$F$11:F104,"&lt;&gt;Cancelled"))</x:f>
      </x:c>
      <x:c r="J104" s="3"/>
      <x:c r="K104" s="3"/>
      <x:c r="L104" s="3"/>
    </x:row>
    <x:row r="105" ht="23" customHeight="1">
      <x:c r="A105" s="3"/>
      <x:c r="B105" s="10"/>
      <x:c r="C105" s="13"/>
      <x:c r="D105" s="10"/>
      <x:c r="E105" s="10"/>
      <x:c r="F105" s="10"/>
      <x:c r="G105" s="14"/>
      <x:c r="H105" s="12" t="str">
        <x:f>IF(B105="","",IF(F105="Cancelled","Cancelled",IF(F105="Complete","Complete",IF(C105="","Add date",IF(C105&lt;$F$5,"Overdue",IF(C105&lt;=$F$5+7,"Due within 7 days","Upcoming"))))))</x:f>
      </x:c>
      <x:c r="I105" s="12" t="str">
        <x:f>IF(OR(B105="",C105="",F105="Cancelled"),"",C105*1000+COUNTIFS($C$11:C105,C105,$B$11:B105,"&lt;&gt;",$F$11:F105,"&lt;&gt;Cancelled"))</x:f>
      </x:c>
      <x:c r="J105" s="3"/>
      <x:c r="K105" s="3"/>
      <x:c r="L105" s="3"/>
    </x:row>
    <x:row r="106" ht="23" customHeight="1">
      <x:c r="A106" s="3"/>
      <x:c r="B106" s="10"/>
      <x:c r="C106" s="13"/>
      <x:c r="D106" s="10"/>
      <x:c r="E106" s="10"/>
      <x:c r="F106" s="10"/>
      <x:c r="G106" s="14"/>
      <x:c r="H106" s="12" t="str">
        <x:f>IF(B106="","",IF(F106="Cancelled","Cancelled",IF(F106="Complete","Complete",IF(C106="","Add date",IF(C106&lt;$F$5,"Overdue",IF(C106&lt;=$F$5+7,"Due within 7 days","Upcoming"))))))</x:f>
      </x:c>
      <x:c r="I106" s="12" t="str">
        <x:f>IF(OR(B106="",C106="",F106="Cancelled"),"",C106*1000+COUNTIFS($C$11:C106,C106,$B$11:B106,"&lt;&gt;",$F$11:F106,"&lt;&gt;Cancelled"))</x:f>
      </x:c>
      <x:c r="J106" s="3"/>
      <x:c r="K106" s="3"/>
      <x:c r="L106" s="3"/>
    </x:row>
    <x:row r="107" ht="23" customHeight="1">
      <x:c r="A107" s="3"/>
      <x:c r="B107" s="10"/>
      <x:c r="C107" s="13"/>
      <x:c r="D107" s="10"/>
      <x:c r="E107" s="10"/>
      <x:c r="F107" s="10"/>
      <x:c r="G107" s="14"/>
      <x:c r="H107" s="12" t="str">
        <x:f>IF(B107="","",IF(F107="Cancelled","Cancelled",IF(F107="Complete","Complete",IF(C107="","Add date",IF(C107&lt;$F$5,"Overdue",IF(C107&lt;=$F$5+7,"Due within 7 days","Upcoming"))))))</x:f>
      </x:c>
      <x:c r="I107" s="12" t="str">
        <x:f>IF(OR(B107="",C107="",F107="Cancelled"),"",C107*1000+COUNTIFS($C$11:C107,C107,$B$11:B107,"&lt;&gt;",$F$11:F107,"&lt;&gt;Cancelled"))</x:f>
      </x:c>
      <x:c r="J107" s="3"/>
      <x:c r="K107" s="3"/>
      <x:c r="L107" s="3"/>
    </x:row>
    <x:row r="108" ht="23" customHeight="1">
      <x:c r="A108" s="3"/>
      <x:c r="B108" s="10"/>
      <x:c r="C108" s="13"/>
      <x:c r="D108" s="10"/>
      <x:c r="E108" s="10"/>
      <x:c r="F108" s="10"/>
      <x:c r="G108" s="14"/>
      <x:c r="H108" s="12" t="str">
        <x:f>IF(B108="","",IF(F108="Cancelled","Cancelled",IF(F108="Complete","Complete",IF(C108="","Add date",IF(C108&lt;$F$5,"Overdue",IF(C108&lt;=$F$5+7,"Due within 7 days","Upcoming"))))))</x:f>
      </x:c>
      <x:c r="I108" s="12" t="str">
        <x:f>IF(OR(B108="",C108="",F108="Cancelled"),"",C108*1000+COUNTIFS($C$11:C108,C108,$B$11:B108,"&lt;&gt;",$F$11:F108,"&lt;&gt;Cancelled"))</x:f>
      </x:c>
      <x:c r="J108" s="3"/>
      <x:c r="K108" s="3"/>
      <x:c r="L108" s="3"/>
    </x:row>
    <x:row r="109" ht="23" customHeight="1">
      <x:c r="A109" s="3"/>
      <x:c r="B109" s="10"/>
      <x:c r="C109" s="13"/>
      <x:c r="D109" s="10"/>
      <x:c r="E109" s="10"/>
      <x:c r="F109" s="10"/>
      <x:c r="G109" s="14"/>
      <x:c r="H109" s="12" t="str">
        <x:f>IF(B109="","",IF(F109="Cancelled","Cancelled",IF(F109="Complete","Complete",IF(C109="","Add date",IF(C109&lt;$F$5,"Overdue",IF(C109&lt;=$F$5+7,"Due within 7 days","Upcoming"))))))</x:f>
      </x:c>
      <x:c r="I109" s="12" t="str">
        <x:f>IF(OR(B109="",C109="",F109="Cancelled"),"",C109*1000+COUNTIFS($C$11:C109,C109,$B$11:B109,"&lt;&gt;",$F$11:F109,"&lt;&gt;Cancelled"))</x:f>
      </x:c>
      <x:c r="J109" s="3"/>
      <x:c r="K109" s="3"/>
      <x:c r="L109" s="3"/>
    </x:row>
    <x:row r="110" ht="23" customHeight="1">
      <x:c r="A110" s="3"/>
      <x:c r="B110" s="10"/>
      <x:c r="C110" s="13"/>
      <x:c r="D110" s="10"/>
      <x:c r="E110" s="10"/>
      <x:c r="F110" s="10"/>
      <x:c r="G110" s="14"/>
      <x:c r="H110" s="12" t="str">
        <x:f>IF(B110="","",IF(F110="Cancelled","Cancelled",IF(F110="Complete","Complete",IF(C110="","Add date",IF(C110&lt;$F$5,"Overdue",IF(C110&lt;=$F$5+7,"Due within 7 days","Upcoming"))))))</x:f>
      </x:c>
      <x:c r="I110" s="12" t="str">
        <x:f>IF(OR(B110="",C110="",F110="Cancelled"),"",C110*1000+COUNTIFS($C$11:C110,C110,$B$11:B110,"&lt;&gt;",$F$11:F110,"&lt;&gt;Cancelled"))</x:f>
      </x:c>
      <x:c r="J110" s="3"/>
      <x:c r="K110" s="3"/>
      <x:c r="L110" s="3"/>
    </x:row>
    <x:row r="111" ht="23" customHeight="1">
      <x:c r="A111" s="3"/>
      <x:c r="B111" s="10"/>
      <x:c r="C111" s="13"/>
      <x:c r="D111" s="10"/>
      <x:c r="E111" s="10"/>
      <x:c r="F111" s="10"/>
      <x:c r="G111" s="14"/>
      <x:c r="H111" s="12" t="str">
        <x:f>IF(B111="","",IF(F111="Cancelled","Cancelled",IF(F111="Complete","Complete",IF(C111="","Add date",IF(C111&lt;$F$5,"Overdue",IF(C111&lt;=$F$5+7,"Due within 7 days","Upcoming"))))))</x:f>
      </x:c>
      <x:c r="I111" s="12" t="str">
        <x:f>IF(OR(B111="",C111="",F111="Cancelled"),"",C111*1000+COUNTIFS($C$11:C111,C111,$B$11:B111,"&lt;&gt;",$F$11:F111,"&lt;&gt;Cancelled"))</x:f>
      </x:c>
      <x:c r="J111" s="3"/>
      <x:c r="K111" s="3"/>
      <x:c r="L111" s="3"/>
    </x:row>
    <x:row r="112" ht="23" customHeight="1">
      <x:c r="A112" s="3"/>
      <x:c r="B112" s="10"/>
      <x:c r="C112" s="13"/>
      <x:c r="D112" s="10"/>
      <x:c r="E112" s="10"/>
      <x:c r="F112" s="10"/>
      <x:c r="G112" s="14"/>
      <x:c r="H112" s="12" t="str">
        <x:f>IF(B112="","",IF(F112="Cancelled","Cancelled",IF(F112="Complete","Complete",IF(C112="","Add date",IF(C112&lt;$F$5,"Overdue",IF(C112&lt;=$F$5+7,"Due within 7 days","Upcoming"))))))</x:f>
      </x:c>
      <x:c r="I112" s="12" t="str">
        <x:f>IF(OR(B112="",C112="",F112="Cancelled"),"",C112*1000+COUNTIFS($C$11:C112,C112,$B$11:B112,"&lt;&gt;",$F$11:F112,"&lt;&gt;Cancelled"))</x:f>
      </x:c>
      <x:c r="J112" s="3"/>
      <x:c r="K112" s="3"/>
      <x:c r="L112" s="3"/>
    </x:row>
    <x:row r="113" ht="23" customHeight="1">
      <x:c r="A113" s="3"/>
      <x:c r="B113" s="10"/>
      <x:c r="C113" s="13"/>
      <x:c r="D113" s="10"/>
      <x:c r="E113" s="10"/>
      <x:c r="F113" s="10"/>
      <x:c r="G113" s="14"/>
      <x:c r="H113" s="12" t="str">
        <x:f>IF(B113="","",IF(F113="Cancelled","Cancelled",IF(F113="Complete","Complete",IF(C113="","Add date",IF(C113&lt;$F$5,"Overdue",IF(C113&lt;=$F$5+7,"Due within 7 days","Upcoming"))))))</x:f>
      </x:c>
      <x:c r="I113" s="12" t="str">
        <x:f>IF(OR(B113="",C113="",F113="Cancelled"),"",C113*1000+COUNTIFS($C$11:C113,C113,$B$11:B113,"&lt;&gt;",$F$11:F113,"&lt;&gt;Cancelled"))</x:f>
      </x:c>
      <x:c r="J113" s="3"/>
      <x:c r="K113" s="3"/>
      <x:c r="L113" s="3"/>
    </x:row>
    <x:row r="114" ht="23" customHeight="1">
      <x:c r="A114" s="3"/>
      <x:c r="B114" s="10"/>
      <x:c r="C114" s="13"/>
      <x:c r="D114" s="10"/>
      <x:c r="E114" s="10"/>
      <x:c r="F114" s="10"/>
      <x:c r="G114" s="14"/>
      <x:c r="H114" s="12" t="str">
        <x:f>IF(B114="","",IF(F114="Cancelled","Cancelled",IF(F114="Complete","Complete",IF(C114="","Add date",IF(C114&lt;$F$5,"Overdue",IF(C114&lt;=$F$5+7,"Due within 7 days","Upcoming"))))))</x:f>
      </x:c>
      <x:c r="I114" s="12" t="str">
        <x:f>IF(OR(B114="",C114="",F114="Cancelled"),"",C114*1000+COUNTIFS($C$11:C114,C114,$B$11:B114,"&lt;&gt;",$F$11:F114,"&lt;&gt;Cancelled"))</x:f>
      </x:c>
      <x:c r="J114" s="3"/>
      <x:c r="K114" s="3"/>
      <x:c r="L114" s="3"/>
    </x:row>
    <x:row r="115" ht="23" customHeight="1">
      <x:c r="A115" s="3"/>
      <x:c r="B115" s="10"/>
      <x:c r="C115" s="13"/>
      <x:c r="D115" s="10"/>
      <x:c r="E115" s="10"/>
      <x:c r="F115" s="10"/>
      <x:c r="G115" s="14"/>
      <x:c r="H115" s="12" t="str">
        <x:f>IF(B115="","",IF(F115="Cancelled","Cancelled",IF(F115="Complete","Complete",IF(C115="","Add date",IF(C115&lt;$F$5,"Overdue",IF(C115&lt;=$F$5+7,"Due within 7 days","Upcoming"))))))</x:f>
      </x:c>
      <x:c r="I115" s="12" t="str">
        <x:f>IF(OR(B115="",C115="",F115="Cancelled"),"",C115*1000+COUNTIFS($C$11:C115,C115,$B$11:B115,"&lt;&gt;",$F$11:F115,"&lt;&gt;Cancelled"))</x:f>
      </x:c>
      <x:c r="J115" s="3"/>
      <x:c r="K115" s="3"/>
      <x:c r="L115" s="3"/>
    </x:row>
    <x:row r="116" ht="23" customHeight="1">
      <x:c r="A116" s="3"/>
      <x:c r="B116" s="10"/>
      <x:c r="C116" s="13"/>
      <x:c r="D116" s="10"/>
      <x:c r="E116" s="10"/>
      <x:c r="F116" s="10"/>
      <x:c r="G116" s="14"/>
      <x:c r="H116" s="12" t="str">
        <x:f>IF(B116="","",IF(F116="Cancelled","Cancelled",IF(F116="Complete","Complete",IF(C116="","Add date",IF(C116&lt;$F$5,"Overdue",IF(C116&lt;=$F$5+7,"Due within 7 days","Upcoming"))))))</x:f>
      </x:c>
      <x:c r="I116" s="12" t="str">
        <x:f>IF(OR(B116="",C116="",F116="Cancelled"),"",C116*1000+COUNTIFS($C$11:C116,C116,$B$11:B116,"&lt;&gt;",$F$11:F116,"&lt;&gt;Cancelled"))</x:f>
      </x:c>
      <x:c r="J116" s="3"/>
      <x:c r="K116" s="3"/>
      <x:c r="L116" s="3"/>
    </x:row>
    <x:row r="117" ht="23" customHeight="1">
      <x:c r="A117" s="3"/>
      <x:c r="B117" s="10"/>
      <x:c r="C117" s="13"/>
      <x:c r="D117" s="10"/>
      <x:c r="E117" s="10"/>
      <x:c r="F117" s="10"/>
      <x:c r="G117" s="14"/>
      <x:c r="H117" s="12" t="str">
        <x:f>IF(B117="","",IF(F117="Cancelled","Cancelled",IF(F117="Complete","Complete",IF(C117="","Add date",IF(C117&lt;$F$5,"Overdue",IF(C117&lt;=$F$5+7,"Due within 7 days","Upcoming"))))))</x:f>
      </x:c>
      <x:c r="I117" s="12" t="str">
        <x:f>IF(OR(B117="",C117="",F117="Cancelled"),"",C117*1000+COUNTIFS($C$11:C117,C117,$B$11:B117,"&lt;&gt;",$F$11:F117,"&lt;&gt;Cancelled"))</x:f>
      </x:c>
      <x:c r="J117" s="3"/>
      <x:c r="K117" s="3"/>
      <x:c r="L117" s="3"/>
    </x:row>
    <x:row r="118" ht="23" customHeight="1">
      <x:c r="A118" s="3"/>
      <x:c r="B118" s="10"/>
      <x:c r="C118" s="13"/>
      <x:c r="D118" s="10"/>
      <x:c r="E118" s="10"/>
      <x:c r="F118" s="10"/>
      <x:c r="G118" s="14"/>
      <x:c r="H118" s="12" t="str">
        <x:f>IF(B118="","",IF(F118="Cancelled","Cancelled",IF(F118="Complete","Complete",IF(C118="","Add date",IF(C118&lt;$F$5,"Overdue",IF(C118&lt;=$F$5+7,"Due within 7 days","Upcoming"))))))</x:f>
      </x:c>
      <x:c r="I118" s="12" t="str">
        <x:f>IF(OR(B118="",C118="",F118="Cancelled"),"",C118*1000+COUNTIFS($C$11:C118,C118,$B$11:B118,"&lt;&gt;",$F$11:F118,"&lt;&gt;Cancelled"))</x:f>
      </x:c>
      <x:c r="J118" s="3"/>
      <x:c r="K118" s="3"/>
      <x:c r="L118" s="3"/>
    </x:row>
    <x:row r="119" ht="23" customHeight="1">
      <x:c r="A119" s="3"/>
      <x:c r="B119" s="10"/>
      <x:c r="C119" s="13"/>
      <x:c r="D119" s="10"/>
      <x:c r="E119" s="10"/>
      <x:c r="F119" s="10"/>
      <x:c r="G119" s="14"/>
      <x:c r="H119" s="12" t="str">
        <x:f>IF(B119="","",IF(F119="Cancelled","Cancelled",IF(F119="Complete","Complete",IF(C119="","Add date",IF(C119&lt;$F$5,"Overdue",IF(C119&lt;=$F$5+7,"Due within 7 days","Upcoming"))))))</x:f>
      </x:c>
      <x:c r="I119" s="12" t="str">
        <x:f>IF(OR(B119="",C119="",F119="Cancelled"),"",C119*1000+COUNTIFS($C$11:C119,C119,$B$11:B119,"&lt;&gt;",$F$11:F119,"&lt;&gt;Cancelled"))</x:f>
      </x:c>
      <x:c r="J119" s="3"/>
      <x:c r="K119" s="3"/>
      <x:c r="L119" s="3"/>
    </x:row>
    <x:row r="120" ht="23" customHeight="1">
      <x:c r="A120" s="3"/>
      <x:c r="B120" s="10"/>
      <x:c r="C120" s="13"/>
      <x:c r="D120" s="10"/>
      <x:c r="E120" s="10"/>
      <x:c r="F120" s="10"/>
      <x:c r="G120" s="14"/>
      <x:c r="H120" s="12" t="str">
        <x:f>IF(B120="","",IF(F120="Cancelled","Cancelled",IF(F120="Complete","Complete",IF(C120="","Add date",IF(C120&lt;$F$5,"Overdue",IF(C120&lt;=$F$5+7,"Due within 7 days","Upcoming"))))))</x:f>
      </x:c>
      <x:c r="I120" s="12" t="str">
        <x:f>IF(OR(B120="",C120="",F120="Cancelled"),"",C120*1000+COUNTIFS($C$11:C120,C120,$B$11:B120,"&lt;&gt;",$F$11:F120,"&lt;&gt;Cancelled"))</x:f>
      </x:c>
      <x:c r="J120" s="3"/>
      <x:c r="K120" s="3"/>
      <x:c r="L120" s="3"/>
    </x:row>
    <x:row r="121" ht="23" customHeight="1">
      <x:c r="A121" s="3"/>
      <x:c r="B121" s="10"/>
      <x:c r="C121" s="13"/>
      <x:c r="D121" s="10"/>
      <x:c r="E121" s="10"/>
      <x:c r="F121" s="10"/>
      <x:c r="G121" s="14"/>
      <x:c r="H121" s="12" t="str">
        <x:f>IF(B121="","",IF(F121="Cancelled","Cancelled",IF(F121="Complete","Complete",IF(C121="","Add date",IF(C121&lt;$F$5,"Overdue",IF(C121&lt;=$F$5+7,"Due within 7 days","Upcoming"))))))</x:f>
      </x:c>
      <x:c r="I121" s="12" t="str">
        <x:f>IF(OR(B121="",C121="",F121="Cancelled"),"",C121*1000+COUNTIFS($C$11:C121,C121,$B$11:B121,"&lt;&gt;",$F$11:F121,"&lt;&gt;Cancelled"))</x:f>
      </x:c>
      <x:c r="J121" s="3"/>
      <x:c r="K121" s="3"/>
      <x:c r="L121" s="3"/>
    </x:row>
    <x:row r="122" ht="23" customHeight="1">
      <x:c r="A122" s="3"/>
      <x:c r="B122" s="10"/>
      <x:c r="C122" s="13"/>
      <x:c r="D122" s="10"/>
      <x:c r="E122" s="10"/>
      <x:c r="F122" s="10"/>
      <x:c r="G122" s="14"/>
      <x:c r="H122" s="12" t="str">
        <x:f>IF(B122="","",IF(F122="Cancelled","Cancelled",IF(F122="Complete","Complete",IF(C122="","Add date",IF(C122&lt;$F$5,"Overdue",IF(C122&lt;=$F$5+7,"Due within 7 days","Upcoming"))))))</x:f>
      </x:c>
      <x:c r="I122" s="12" t="str">
        <x:f>IF(OR(B122="",C122="",F122="Cancelled"),"",C122*1000+COUNTIFS($C$11:C122,C122,$B$11:B122,"&lt;&gt;",$F$11:F122,"&lt;&gt;Cancelled"))</x:f>
      </x:c>
      <x:c r="J122" s="3"/>
      <x:c r="K122" s="3"/>
      <x:c r="L122" s="3"/>
    </x:row>
    <x:row r="123" ht="23" customHeight="1">
      <x:c r="A123" s="3"/>
      <x:c r="B123" s="10"/>
      <x:c r="C123" s="13"/>
      <x:c r="D123" s="10"/>
      <x:c r="E123" s="10"/>
      <x:c r="F123" s="10"/>
      <x:c r="G123" s="14"/>
      <x:c r="H123" s="12" t="str">
        <x:f>IF(B123="","",IF(F123="Cancelled","Cancelled",IF(F123="Complete","Complete",IF(C123="","Add date",IF(C123&lt;$F$5,"Overdue",IF(C123&lt;=$F$5+7,"Due within 7 days","Upcoming"))))))</x:f>
      </x:c>
      <x:c r="I123" s="12" t="str">
        <x:f>IF(OR(B123="",C123="",F123="Cancelled"),"",C123*1000+COUNTIFS($C$11:C123,C123,$B$11:B123,"&lt;&gt;",$F$11:F123,"&lt;&gt;Cancelled"))</x:f>
      </x:c>
      <x:c r="J123" s="3"/>
      <x:c r="K123" s="3"/>
      <x:c r="L123" s="3"/>
    </x:row>
    <x:row r="124" ht="23" customHeight="1">
      <x:c r="A124" s="3"/>
      <x:c r="B124" s="10"/>
      <x:c r="C124" s="13"/>
      <x:c r="D124" s="10"/>
      <x:c r="E124" s="10"/>
      <x:c r="F124" s="10"/>
      <x:c r="G124" s="14"/>
      <x:c r="H124" s="12" t="str">
        <x:f>IF(B124="","",IF(F124="Cancelled","Cancelled",IF(F124="Complete","Complete",IF(C124="","Add date",IF(C124&lt;$F$5,"Overdue",IF(C124&lt;=$F$5+7,"Due within 7 days","Upcoming"))))))</x:f>
      </x:c>
      <x:c r="I124" s="12" t="str">
        <x:f>IF(OR(B124="",C124="",F124="Cancelled"),"",C124*1000+COUNTIFS($C$11:C124,C124,$B$11:B124,"&lt;&gt;",$F$11:F124,"&lt;&gt;Cancelled"))</x:f>
      </x:c>
      <x:c r="J124" s="3"/>
      <x:c r="K124" s="3"/>
      <x:c r="L124" s="3"/>
    </x:row>
    <x:row r="125" ht="23" customHeight="1">
      <x:c r="A125" s="3"/>
      <x:c r="B125" s="10"/>
      <x:c r="C125" s="13"/>
      <x:c r="D125" s="10"/>
      <x:c r="E125" s="10"/>
      <x:c r="F125" s="10"/>
      <x:c r="G125" s="14"/>
      <x:c r="H125" s="12" t="str">
        <x:f>IF(B125="","",IF(F125="Cancelled","Cancelled",IF(F125="Complete","Complete",IF(C125="","Add date",IF(C125&lt;$F$5,"Overdue",IF(C125&lt;=$F$5+7,"Due within 7 days","Upcoming"))))))</x:f>
      </x:c>
      <x:c r="I125" s="12" t="str">
        <x:f>IF(OR(B125="",C125="",F125="Cancelled"),"",C125*1000+COUNTIFS($C$11:C125,C125,$B$11:B125,"&lt;&gt;",$F$11:F125,"&lt;&gt;Cancelled"))</x:f>
      </x:c>
      <x:c r="J125" s="3"/>
      <x:c r="K125" s="3"/>
      <x:c r="L125" s="3"/>
    </x:row>
    <x:row r="126" ht="23" customHeight="1">
      <x:c r="A126" s="3"/>
      <x:c r="B126" s="10"/>
      <x:c r="C126" s="13"/>
      <x:c r="D126" s="10"/>
      <x:c r="E126" s="10"/>
      <x:c r="F126" s="10"/>
      <x:c r="G126" s="14"/>
      <x:c r="H126" s="12" t="str">
        <x:f>IF(B126="","",IF(F126="Cancelled","Cancelled",IF(F126="Complete","Complete",IF(C126="","Add date",IF(C126&lt;$F$5,"Overdue",IF(C126&lt;=$F$5+7,"Due within 7 days","Upcoming"))))))</x:f>
      </x:c>
      <x:c r="I126" s="12" t="str">
        <x:f>IF(OR(B126="",C126="",F126="Cancelled"),"",C126*1000+COUNTIFS($C$11:C126,C126,$B$11:B126,"&lt;&gt;",$F$11:F126,"&lt;&gt;Cancelled"))</x:f>
      </x:c>
      <x:c r="J126" s="3"/>
      <x:c r="K126" s="3"/>
      <x:c r="L126" s="3"/>
    </x:row>
    <x:row r="127" ht="23" customHeight="1">
      <x:c r="A127" s="3"/>
      <x:c r="B127" s="10"/>
      <x:c r="C127" s="13"/>
      <x:c r="D127" s="10"/>
      <x:c r="E127" s="10"/>
      <x:c r="F127" s="10"/>
      <x:c r="G127" s="14"/>
      <x:c r="H127" s="12" t="str">
        <x:f>IF(B127="","",IF(F127="Cancelled","Cancelled",IF(F127="Complete","Complete",IF(C127="","Add date",IF(C127&lt;$F$5,"Overdue",IF(C127&lt;=$F$5+7,"Due within 7 days","Upcoming"))))))</x:f>
      </x:c>
      <x:c r="I127" s="12" t="str">
        <x:f>IF(OR(B127="",C127="",F127="Cancelled"),"",C127*1000+COUNTIFS($C$11:C127,C127,$B$11:B127,"&lt;&gt;",$F$11:F127,"&lt;&gt;Cancelled"))</x:f>
      </x:c>
      <x:c r="J127" s="3"/>
      <x:c r="K127" s="3"/>
      <x:c r="L127" s="3"/>
    </x:row>
    <x:row r="128" ht="23" customHeight="1">
      <x:c r="A128" s="3"/>
      <x:c r="B128" s="10"/>
      <x:c r="C128" s="13"/>
      <x:c r="D128" s="10"/>
      <x:c r="E128" s="10"/>
      <x:c r="F128" s="10"/>
      <x:c r="G128" s="14"/>
      <x:c r="H128" s="12" t="str">
        <x:f>IF(B128="","",IF(F128="Cancelled","Cancelled",IF(F128="Complete","Complete",IF(C128="","Add date",IF(C128&lt;$F$5,"Overdue",IF(C128&lt;=$F$5+7,"Due within 7 days","Upcoming"))))))</x:f>
      </x:c>
      <x:c r="I128" s="12" t="str">
        <x:f>IF(OR(B128="",C128="",F128="Cancelled"),"",C128*1000+COUNTIFS($C$11:C128,C128,$B$11:B128,"&lt;&gt;",$F$11:F128,"&lt;&gt;Cancelled"))</x:f>
      </x:c>
      <x:c r="J128" s="3"/>
      <x:c r="K128" s="3"/>
      <x:c r="L128" s="3"/>
    </x:row>
    <x:row r="129" ht="23" customHeight="1">
      <x:c r="A129" s="3"/>
      <x:c r="B129" s="10"/>
      <x:c r="C129" s="13"/>
      <x:c r="D129" s="10"/>
      <x:c r="E129" s="10"/>
      <x:c r="F129" s="10"/>
      <x:c r="G129" s="14"/>
      <x:c r="H129" s="12" t="str">
        <x:f>IF(B129="","",IF(F129="Cancelled","Cancelled",IF(F129="Complete","Complete",IF(C129="","Add date",IF(C129&lt;$F$5,"Overdue",IF(C129&lt;=$F$5+7,"Due within 7 days","Upcoming"))))))</x:f>
      </x:c>
      <x:c r="I129" s="12" t="str">
        <x:f>IF(OR(B129="",C129="",F129="Cancelled"),"",C129*1000+COUNTIFS($C$11:C129,C129,$B$11:B129,"&lt;&gt;",$F$11:F129,"&lt;&gt;Cancelled"))</x:f>
      </x:c>
      <x:c r="J129" s="3"/>
      <x:c r="K129" s="3"/>
      <x:c r="L129" s="3"/>
    </x:row>
    <x:row r="130" ht="23" customHeight="1">
      <x:c r="A130" s="3"/>
      <x:c r="B130" s="10"/>
      <x:c r="C130" s="13"/>
      <x:c r="D130" s="10"/>
      <x:c r="E130" s="10"/>
      <x:c r="F130" s="10"/>
      <x:c r="G130" s="14"/>
      <x:c r="H130" s="12" t="str">
        <x:f>IF(B130="","",IF(F130="Cancelled","Cancelled",IF(F130="Complete","Complete",IF(C130="","Add date",IF(C130&lt;$F$5,"Overdue",IF(C130&lt;=$F$5+7,"Due within 7 days","Upcoming"))))))</x:f>
      </x:c>
      <x:c r="I130" s="12" t="str">
        <x:f>IF(OR(B130="",C130="",F130="Cancelled"),"",C130*1000+COUNTIFS($C$11:C130,C130,$B$11:B130,"&lt;&gt;",$F$11:F130,"&lt;&gt;Cancelled"))</x:f>
      </x:c>
      <x:c r="J130" s="3"/>
      <x:c r="K130" s="3"/>
      <x:c r="L130" s="3"/>
    </x:row>
    <x:row r="131" ht="23" customHeight="1">
      <x:c r="A131" s="3"/>
      <x:c r="B131" s="10"/>
      <x:c r="C131" s="13"/>
      <x:c r="D131" s="10"/>
      <x:c r="E131" s="10"/>
      <x:c r="F131" s="10"/>
      <x:c r="G131" s="14"/>
      <x:c r="H131" s="12" t="str">
        <x:f>IF(B131="","",IF(F131="Cancelled","Cancelled",IF(F131="Complete","Complete",IF(C131="","Add date",IF(C131&lt;$F$5,"Overdue",IF(C131&lt;=$F$5+7,"Due within 7 days","Upcoming"))))))</x:f>
      </x:c>
      <x:c r="I131" s="12" t="str">
        <x:f>IF(OR(B131="",C131="",F131="Cancelled"),"",C131*1000+COUNTIFS($C$11:C131,C131,$B$11:B131,"&lt;&gt;",$F$11:F131,"&lt;&gt;Cancelled"))</x:f>
      </x:c>
      <x:c r="J131" s="3"/>
      <x:c r="K131" s="3"/>
      <x:c r="L131" s="3"/>
    </x:row>
    <x:row r="132" ht="23" customHeight="1">
      <x:c r="A132" s="3"/>
      <x:c r="B132" s="10"/>
      <x:c r="C132" s="13"/>
      <x:c r="D132" s="10"/>
      <x:c r="E132" s="10"/>
      <x:c r="F132" s="10"/>
      <x:c r="G132" s="14"/>
      <x:c r="H132" s="12" t="str">
        <x:f>IF(B132="","",IF(F132="Cancelled","Cancelled",IF(F132="Complete","Complete",IF(C132="","Add date",IF(C132&lt;$F$5,"Overdue",IF(C132&lt;=$F$5+7,"Due within 7 days","Upcoming"))))))</x:f>
      </x:c>
      <x:c r="I132" s="12" t="str">
        <x:f>IF(OR(B132="",C132="",F132="Cancelled"),"",C132*1000+COUNTIFS($C$11:C132,C132,$B$11:B132,"&lt;&gt;",$F$11:F132,"&lt;&gt;Cancelled"))</x:f>
      </x:c>
      <x:c r="J132" s="3"/>
      <x:c r="K132" s="3"/>
      <x:c r="L132" s="3"/>
    </x:row>
    <x:row r="133" ht="23" customHeight="1">
      <x:c r="A133" s="3"/>
      <x:c r="B133" s="10"/>
      <x:c r="C133" s="13"/>
      <x:c r="D133" s="10"/>
      <x:c r="E133" s="10"/>
      <x:c r="F133" s="10"/>
      <x:c r="G133" s="14"/>
      <x:c r="H133" s="12" t="str">
        <x:f>IF(B133="","",IF(F133="Cancelled","Cancelled",IF(F133="Complete","Complete",IF(C133="","Add date",IF(C133&lt;$F$5,"Overdue",IF(C133&lt;=$F$5+7,"Due within 7 days","Upcoming"))))))</x:f>
      </x:c>
      <x:c r="I133" s="12" t="str">
        <x:f>IF(OR(B133="",C133="",F133="Cancelled"),"",C133*1000+COUNTIFS($C$11:C133,C133,$B$11:B133,"&lt;&gt;",$F$11:F133,"&lt;&gt;Cancelled"))</x:f>
      </x:c>
      <x:c r="J133" s="3"/>
      <x:c r="K133" s="3"/>
      <x:c r="L133" s="3"/>
    </x:row>
    <x:row r="134" ht="23" customHeight="1">
      <x:c r="A134" s="3"/>
      <x:c r="B134" s="10"/>
      <x:c r="C134" s="13"/>
      <x:c r="D134" s="10"/>
      <x:c r="E134" s="10"/>
      <x:c r="F134" s="10"/>
      <x:c r="G134" s="14"/>
      <x:c r="H134" s="12" t="str">
        <x:f>IF(B134="","",IF(F134="Cancelled","Cancelled",IF(F134="Complete","Complete",IF(C134="","Add date",IF(C134&lt;$F$5,"Overdue",IF(C134&lt;=$F$5+7,"Due within 7 days","Upcoming"))))))</x:f>
      </x:c>
      <x:c r="I134" s="12" t="str">
        <x:f>IF(OR(B134="",C134="",F134="Cancelled"),"",C134*1000+COUNTIFS($C$11:C134,C134,$B$11:B134,"&lt;&gt;",$F$11:F134,"&lt;&gt;Cancelled"))</x:f>
      </x:c>
      <x:c r="J134" s="3"/>
      <x:c r="K134" s="3"/>
      <x:c r="L134" s="3"/>
    </x:row>
    <x:row r="135" ht="23" customHeight="1">
      <x:c r="A135" s="3"/>
      <x:c r="B135" s="10"/>
      <x:c r="C135" s="13"/>
      <x:c r="D135" s="10"/>
      <x:c r="E135" s="10"/>
      <x:c r="F135" s="10"/>
      <x:c r="G135" s="14"/>
      <x:c r="H135" s="12" t="str">
        <x:f>IF(B135="","",IF(F135="Cancelled","Cancelled",IF(F135="Complete","Complete",IF(C135="","Add date",IF(C135&lt;$F$5,"Overdue",IF(C135&lt;=$F$5+7,"Due within 7 days","Upcoming"))))))</x:f>
      </x:c>
      <x:c r="I135" s="12" t="str">
        <x:f>IF(OR(B135="",C135="",F135="Cancelled"),"",C135*1000+COUNTIFS($C$11:C135,C135,$B$11:B135,"&lt;&gt;",$F$11:F135,"&lt;&gt;Cancelled"))</x:f>
      </x:c>
      <x:c r="J135" s="3"/>
      <x:c r="K135" s="3"/>
      <x:c r="L135" s="3"/>
    </x:row>
    <x:row r="136" ht="23" customHeight="1">
      <x:c r="A136" s="3"/>
      <x:c r="B136" s="10"/>
      <x:c r="C136" s="13"/>
      <x:c r="D136" s="10"/>
      <x:c r="E136" s="10"/>
      <x:c r="F136" s="10"/>
      <x:c r="G136" s="14"/>
      <x:c r="H136" s="12" t="str">
        <x:f>IF(B136="","",IF(F136="Cancelled","Cancelled",IF(F136="Complete","Complete",IF(C136="","Add date",IF(C136&lt;$F$5,"Overdue",IF(C136&lt;=$F$5+7,"Due within 7 days","Upcoming"))))))</x:f>
      </x:c>
      <x:c r="I136" s="12" t="str">
        <x:f>IF(OR(B136="",C136="",F136="Cancelled"),"",C136*1000+COUNTIFS($C$11:C136,C136,$B$11:B136,"&lt;&gt;",$F$11:F136,"&lt;&gt;Cancelled"))</x:f>
      </x:c>
      <x:c r="J136" s="3"/>
      <x:c r="K136" s="3"/>
      <x:c r="L136" s="3"/>
    </x:row>
    <x:row r="137" ht="23" customHeight="1">
      <x:c r="A137" s="3"/>
      <x:c r="B137" s="10"/>
      <x:c r="C137" s="13"/>
      <x:c r="D137" s="10"/>
      <x:c r="E137" s="10"/>
      <x:c r="F137" s="10"/>
      <x:c r="G137" s="14"/>
      <x:c r="H137" s="12" t="str">
        <x:f>IF(B137="","",IF(F137="Cancelled","Cancelled",IF(F137="Complete","Complete",IF(C137="","Add date",IF(C137&lt;$F$5,"Overdue",IF(C137&lt;=$F$5+7,"Due within 7 days","Upcoming"))))))</x:f>
      </x:c>
      <x:c r="I137" s="12" t="str">
        <x:f>IF(OR(B137="",C137="",F137="Cancelled"),"",C137*1000+COUNTIFS($C$11:C137,C137,$B$11:B137,"&lt;&gt;",$F$11:F137,"&lt;&gt;Cancelled"))</x:f>
      </x:c>
      <x:c r="J137" s="3"/>
      <x:c r="K137" s="3"/>
      <x:c r="L137" s="3"/>
    </x:row>
    <x:row r="138" ht="23" customHeight="1">
      <x:c r="A138" s="3"/>
      <x:c r="B138" s="10"/>
      <x:c r="C138" s="13"/>
      <x:c r="D138" s="10"/>
      <x:c r="E138" s="10"/>
      <x:c r="F138" s="10"/>
      <x:c r="G138" s="14"/>
      <x:c r="H138" s="12" t="str">
        <x:f>IF(B138="","",IF(F138="Cancelled","Cancelled",IF(F138="Complete","Complete",IF(C138="","Add date",IF(C138&lt;$F$5,"Overdue",IF(C138&lt;=$F$5+7,"Due within 7 days","Upcoming"))))))</x:f>
      </x:c>
      <x:c r="I138" s="12" t="str">
        <x:f>IF(OR(B138="",C138="",F138="Cancelled"),"",C138*1000+COUNTIFS($C$11:C138,C138,$B$11:B138,"&lt;&gt;",$F$11:F138,"&lt;&gt;Cancelled"))</x:f>
      </x:c>
      <x:c r="J138" s="3"/>
      <x:c r="K138" s="3"/>
      <x:c r="L138" s="3"/>
    </x:row>
    <x:row r="139" ht="23" customHeight="1">
      <x:c r="A139" s="3"/>
      <x:c r="B139" s="10"/>
      <x:c r="C139" s="13"/>
      <x:c r="D139" s="10"/>
      <x:c r="E139" s="10"/>
      <x:c r="F139" s="10"/>
      <x:c r="G139" s="14"/>
      <x:c r="H139" s="12" t="str">
        <x:f>IF(B139="","",IF(F139="Cancelled","Cancelled",IF(F139="Complete","Complete",IF(C139="","Add date",IF(C139&lt;$F$5,"Overdue",IF(C139&lt;=$F$5+7,"Due within 7 days","Upcoming"))))))</x:f>
      </x:c>
      <x:c r="I139" s="12" t="str">
        <x:f>IF(OR(B139="",C139="",F139="Cancelled"),"",C139*1000+COUNTIFS($C$11:C139,C139,$B$11:B139,"&lt;&gt;",$F$11:F139,"&lt;&gt;Cancelled"))</x:f>
      </x:c>
      <x:c r="J139" s="3"/>
      <x:c r="K139" s="3"/>
      <x:c r="L139" s="3"/>
    </x:row>
    <x:row r="140" ht="23" customHeight="1">
      <x:c r="A140" s="3"/>
      <x:c r="B140" s="10"/>
      <x:c r="C140" s="13"/>
      <x:c r="D140" s="10"/>
      <x:c r="E140" s="10"/>
      <x:c r="F140" s="10"/>
      <x:c r="G140" s="14"/>
      <x:c r="H140" s="12" t="str">
        <x:f>IF(B140="","",IF(F140="Cancelled","Cancelled",IF(F140="Complete","Complete",IF(C140="","Add date",IF(C140&lt;$F$5,"Overdue",IF(C140&lt;=$F$5+7,"Due within 7 days","Upcoming"))))))</x:f>
      </x:c>
      <x:c r="I140" s="12" t="str">
        <x:f>IF(OR(B140="",C140="",F140="Cancelled"),"",C140*1000+COUNTIFS($C$11:C140,C140,$B$11:B140,"&lt;&gt;",$F$11:F140,"&lt;&gt;Cancelled"))</x:f>
      </x:c>
      <x:c r="J140" s="3"/>
      <x:c r="K140" s="3"/>
      <x:c r="L140" s="3"/>
    </x:row>
    <x:row r="141" ht="23" customHeight="1">
      <x:c r="A141" s="3"/>
      <x:c r="B141" s="10"/>
      <x:c r="C141" s="13"/>
      <x:c r="D141" s="10"/>
      <x:c r="E141" s="10"/>
      <x:c r="F141" s="10"/>
      <x:c r="G141" s="14"/>
      <x:c r="H141" s="12" t="str">
        <x:f>IF(B141="","",IF(F141="Cancelled","Cancelled",IF(F141="Complete","Complete",IF(C141="","Add date",IF(C141&lt;$F$5,"Overdue",IF(C141&lt;=$F$5+7,"Due within 7 days","Upcoming"))))))</x:f>
      </x:c>
      <x:c r="I141" s="12" t="str">
        <x:f>IF(OR(B141="",C141="",F141="Cancelled"),"",C141*1000+COUNTIFS($C$11:C141,C141,$B$11:B141,"&lt;&gt;",$F$11:F141,"&lt;&gt;Cancelled"))</x:f>
      </x:c>
      <x:c r="J141" s="3"/>
      <x:c r="K141" s="3"/>
      <x:c r="L141" s="3"/>
    </x:row>
    <x:row r="142" ht="23" customHeight="1">
      <x:c r="A142" s="3"/>
      <x:c r="B142" s="10"/>
      <x:c r="C142" s="13"/>
      <x:c r="D142" s="10"/>
      <x:c r="E142" s="10"/>
      <x:c r="F142" s="10"/>
      <x:c r="G142" s="14"/>
      <x:c r="H142" s="12" t="str">
        <x:f>IF(B142="","",IF(F142="Cancelled","Cancelled",IF(F142="Complete","Complete",IF(C142="","Add date",IF(C142&lt;$F$5,"Overdue",IF(C142&lt;=$F$5+7,"Due within 7 days","Upcoming"))))))</x:f>
      </x:c>
      <x:c r="I142" s="12" t="str">
        <x:f>IF(OR(B142="",C142="",F142="Cancelled"),"",C142*1000+COUNTIFS($C$11:C142,C142,$B$11:B142,"&lt;&gt;",$F$11:F142,"&lt;&gt;Cancelled"))</x:f>
      </x:c>
      <x:c r="J142" s="3"/>
      <x:c r="K142" s="3"/>
      <x:c r="L142" s="3"/>
    </x:row>
    <x:row r="143" ht="23" customHeight="1">
      <x:c r="A143" s="3"/>
      <x:c r="B143" s="10"/>
      <x:c r="C143" s="13"/>
      <x:c r="D143" s="10"/>
      <x:c r="E143" s="10"/>
      <x:c r="F143" s="10"/>
      <x:c r="G143" s="14"/>
      <x:c r="H143" s="12" t="str">
        <x:f>IF(B143="","",IF(F143="Cancelled","Cancelled",IF(F143="Complete","Complete",IF(C143="","Add date",IF(C143&lt;$F$5,"Overdue",IF(C143&lt;=$F$5+7,"Due within 7 days","Upcoming"))))))</x:f>
      </x:c>
      <x:c r="I143" s="12" t="str">
        <x:f>IF(OR(B143="",C143="",F143="Cancelled"),"",C143*1000+COUNTIFS($C$11:C143,C143,$B$11:B143,"&lt;&gt;",$F$11:F143,"&lt;&gt;Cancelled"))</x:f>
      </x:c>
      <x:c r="J143" s="3"/>
      <x:c r="K143" s="3"/>
      <x:c r="L143" s="3"/>
    </x:row>
    <x:row r="144" ht="23" customHeight="1">
      <x:c r="A144" s="3"/>
      <x:c r="B144" s="10"/>
      <x:c r="C144" s="13"/>
      <x:c r="D144" s="10"/>
      <x:c r="E144" s="10"/>
      <x:c r="F144" s="10"/>
      <x:c r="G144" s="14"/>
      <x:c r="H144" s="12" t="str">
        <x:f>IF(B144="","",IF(F144="Cancelled","Cancelled",IF(F144="Complete","Complete",IF(C144="","Add date",IF(C144&lt;$F$5,"Overdue",IF(C144&lt;=$F$5+7,"Due within 7 days","Upcoming"))))))</x:f>
      </x:c>
      <x:c r="I144" s="12" t="str">
        <x:f>IF(OR(B144="",C144="",F144="Cancelled"),"",C144*1000+COUNTIFS($C$11:C144,C144,$B$11:B144,"&lt;&gt;",$F$11:F144,"&lt;&gt;Cancelled"))</x:f>
      </x:c>
      <x:c r="J144" s="3"/>
      <x:c r="K144" s="3"/>
      <x:c r="L144" s="3"/>
    </x:row>
    <x:row r="145" ht="23" customHeight="1">
      <x:c r="A145" s="3"/>
      <x:c r="B145" s="10"/>
      <x:c r="C145" s="13"/>
      <x:c r="D145" s="10"/>
      <x:c r="E145" s="10"/>
      <x:c r="F145" s="10"/>
      <x:c r="G145" s="14"/>
      <x:c r="H145" s="12" t="str">
        <x:f>IF(B145="","",IF(F145="Cancelled","Cancelled",IF(F145="Complete","Complete",IF(C145="","Add date",IF(C145&lt;$F$5,"Overdue",IF(C145&lt;=$F$5+7,"Due within 7 days","Upcoming"))))))</x:f>
      </x:c>
      <x:c r="I145" s="12" t="str">
        <x:f>IF(OR(B145="",C145="",F145="Cancelled"),"",C145*1000+COUNTIFS($C$11:C145,C145,$B$11:B145,"&lt;&gt;",$F$11:F145,"&lt;&gt;Cancelled"))</x:f>
      </x:c>
      <x:c r="J145" s="3"/>
      <x:c r="K145" s="3"/>
      <x:c r="L145" s="3"/>
    </x:row>
    <x:row r="146" ht="23" customHeight="1">
      <x:c r="A146" s="3"/>
      <x:c r="B146" s="10"/>
      <x:c r="C146" s="13"/>
      <x:c r="D146" s="10"/>
      <x:c r="E146" s="10"/>
      <x:c r="F146" s="10"/>
      <x:c r="G146" s="14"/>
      <x:c r="H146" s="12" t="str">
        <x:f>IF(B146="","",IF(F146="Cancelled","Cancelled",IF(F146="Complete","Complete",IF(C146="","Add date",IF(C146&lt;$F$5,"Overdue",IF(C146&lt;=$F$5+7,"Due within 7 days","Upcoming"))))))</x:f>
      </x:c>
      <x:c r="I146" s="12" t="str">
        <x:f>IF(OR(B146="",C146="",F146="Cancelled"),"",C146*1000+COUNTIFS($C$11:C146,C146,$B$11:B146,"&lt;&gt;",$F$11:F146,"&lt;&gt;Cancelled"))</x:f>
      </x:c>
      <x:c r="J146" s="3"/>
      <x:c r="K146" s="3"/>
      <x:c r="L146" s="3"/>
    </x:row>
    <x:row r="147" ht="23" customHeight="1">
      <x:c r="A147" s="3"/>
      <x:c r="B147" s="10"/>
      <x:c r="C147" s="13"/>
      <x:c r="D147" s="10"/>
      <x:c r="E147" s="10"/>
      <x:c r="F147" s="10"/>
      <x:c r="G147" s="14"/>
      <x:c r="H147" s="12" t="str">
        <x:f>IF(B147="","",IF(F147="Cancelled","Cancelled",IF(F147="Complete","Complete",IF(C147="","Add date",IF(C147&lt;$F$5,"Overdue",IF(C147&lt;=$F$5+7,"Due within 7 days","Upcoming"))))))</x:f>
      </x:c>
      <x:c r="I147" s="12" t="str">
        <x:f>IF(OR(B147="",C147="",F147="Cancelled"),"",C147*1000+COUNTIFS($C$11:C147,C147,$B$11:B147,"&lt;&gt;",$F$11:F147,"&lt;&gt;Cancelled"))</x:f>
      </x:c>
      <x:c r="J147" s="3"/>
      <x:c r="K147" s="3"/>
      <x:c r="L147" s="3"/>
    </x:row>
    <x:row r="148" ht="23" customHeight="1">
      <x:c r="A148" s="3"/>
      <x:c r="B148" s="10"/>
      <x:c r="C148" s="13"/>
      <x:c r="D148" s="10"/>
      <x:c r="E148" s="10"/>
      <x:c r="F148" s="10"/>
      <x:c r="G148" s="14"/>
      <x:c r="H148" s="12" t="str">
        <x:f>IF(B148="","",IF(F148="Cancelled","Cancelled",IF(F148="Complete","Complete",IF(C148="","Add date",IF(C148&lt;$F$5,"Overdue",IF(C148&lt;=$F$5+7,"Due within 7 days","Upcoming"))))))</x:f>
      </x:c>
      <x:c r="I148" s="12" t="str">
        <x:f>IF(OR(B148="",C148="",F148="Cancelled"),"",C148*1000+COUNTIFS($C$11:C148,C148,$B$11:B148,"&lt;&gt;",$F$11:F148,"&lt;&gt;Cancelled"))</x:f>
      </x:c>
      <x:c r="J148" s="3"/>
      <x:c r="K148" s="3"/>
      <x:c r="L148" s="3"/>
    </x:row>
    <x:row r="149" ht="23" customHeight="1">
      <x:c r="A149" s="3"/>
      <x:c r="B149" s="10"/>
      <x:c r="C149" s="13"/>
      <x:c r="D149" s="10"/>
      <x:c r="E149" s="10"/>
      <x:c r="F149" s="10"/>
      <x:c r="G149" s="14"/>
      <x:c r="H149" s="12" t="str">
        <x:f>IF(B149="","",IF(F149="Cancelled","Cancelled",IF(F149="Complete","Complete",IF(C149="","Add date",IF(C149&lt;$F$5,"Overdue",IF(C149&lt;=$F$5+7,"Due within 7 days","Upcoming"))))))</x:f>
      </x:c>
      <x:c r="I149" s="12" t="str">
        <x:f>IF(OR(B149="",C149="",F149="Cancelled"),"",C149*1000+COUNTIFS($C$11:C149,C149,$B$11:B149,"&lt;&gt;",$F$11:F149,"&lt;&gt;Cancelled"))</x:f>
      </x:c>
      <x:c r="J149" s="3"/>
      <x:c r="K149" s="3"/>
      <x:c r="L149" s="3"/>
    </x:row>
    <x:row r="150" ht="23" customHeight="1">
      <x:c r="A150" s="3"/>
      <x:c r="B150" s="10"/>
      <x:c r="C150" s="13"/>
      <x:c r="D150" s="10"/>
      <x:c r="E150" s="10"/>
      <x:c r="F150" s="10"/>
      <x:c r="G150" s="14"/>
      <x:c r="H150" s="12" t="str">
        <x:f>IF(B150="","",IF(F150="Cancelled","Cancelled",IF(F150="Complete","Complete",IF(C150="","Add date",IF(C150&lt;$F$5,"Overdue",IF(C150&lt;=$F$5+7,"Due within 7 days","Upcoming"))))))</x:f>
      </x:c>
      <x:c r="I150" s="12" t="str">
        <x:f>IF(OR(B150="",C150="",F150="Cancelled"),"",C150*1000+COUNTIFS($C$11:C150,C150,$B$11:B150,"&lt;&gt;",$F$11:F150,"&lt;&gt;Cancelled"))</x:f>
      </x:c>
      <x:c r="J150" s="3"/>
      <x:c r="K150" s="3"/>
      <x:c r="L150" s="3"/>
    </x:row>
    <x:row r="151" ht="23" customHeight="1">
      <x:c r="A151" s="3"/>
      <x:c r="B151" s="10"/>
      <x:c r="C151" s="13"/>
      <x:c r="D151" s="10"/>
      <x:c r="E151" s="10"/>
      <x:c r="F151" s="10"/>
      <x:c r="G151" s="14"/>
      <x:c r="H151" s="12" t="str">
        <x:f>IF(B151="","",IF(F151="Cancelled","Cancelled",IF(F151="Complete","Complete",IF(C151="","Add date",IF(C151&lt;$F$5,"Overdue",IF(C151&lt;=$F$5+7,"Due within 7 days","Upcoming"))))))</x:f>
      </x:c>
      <x:c r="I151" s="12" t="str">
        <x:f>IF(OR(B151="",C151="",F151="Cancelled"),"",C151*1000+COUNTIFS($C$11:C151,C151,$B$11:B151,"&lt;&gt;",$F$11:F151,"&lt;&gt;Cancelled"))</x:f>
      </x:c>
      <x:c r="J151" s="3"/>
      <x:c r="K151" s="3"/>
      <x:c r="L151" s="3"/>
    </x:row>
    <x:row r="152" ht="23" customHeight="1">
      <x:c r="A152" s="3"/>
      <x:c r="B152" s="10"/>
      <x:c r="C152" s="13"/>
      <x:c r="D152" s="10"/>
      <x:c r="E152" s="10"/>
      <x:c r="F152" s="10"/>
      <x:c r="G152" s="14"/>
      <x:c r="H152" s="12" t="str">
        <x:f>IF(B152="","",IF(F152="Cancelled","Cancelled",IF(F152="Complete","Complete",IF(C152="","Add date",IF(C152&lt;$F$5,"Overdue",IF(C152&lt;=$F$5+7,"Due within 7 days","Upcoming"))))))</x:f>
      </x:c>
      <x:c r="I152" s="12" t="str">
        <x:f>IF(OR(B152="",C152="",F152="Cancelled"),"",C152*1000+COUNTIFS($C$11:C152,C152,$B$11:B152,"&lt;&gt;",$F$11:F152,"&lt;&gt;Cancelled"))</x:f>
      </x:c>
      <x:c r="J152" s="3"/>
      <x:c r="K152" s="3"/>
      <x:c r="L152" s="3"/>
    </x:row>
    <x:row r="153" ht="23" customHeight="1">
      <x:c r="A153" s="3"/>
      <x:c r="B153" s="10"/>
      <x:c r="C153" s="13"/>
      <x:c r="D153" s="10"/>
      <x:c r="E153" s="10"/>
      <x:c r="F153" s="10"/>
      <x:c r="G153" s="14"/>
      <x:c r="H153" s="12" t="str">
        <x:f>IF(B153="","",IF(F153="Cancelled","Cancelled",IF(F153="Complete","Complete",IF(C153="","Add date",IF(C153&lt;$F$5,"Overdue",IF(C153&lt;=$F$5+7,"Due within 7 days","Upcoming"))))))</x:f>
      </x:c>
      <x:c r="I153" s="12" t="str">
        <x:f>IF(OR(B153="",C153="",F153="Cancelled"),"",C153*1000+COUNTIFS($C$11:C153,C153,$B$11:B153,"&lt;&gt;",$F$11:F153,"&lt;&gt;Cancelled"))</x:f>
      </x:c>
      <x:c r="J153" s="3"/>
      <x:c r="K153" s="3"/>
      <x:c r="L153" s="3"/>
    </x:row>
    <x:row r="154" ht="23" customHeight="1">
      <x:c r="A154" s="3"/>
      <x:c r="B154" s="10"/>
      <x:c r="C154" s="13"/>
      <x:c r="D154" s="10"/>
      <x:c r="E154" s="10"/>
      <x:c r="F154" s="10"/>
      <x:c r="G154" s="14"/>
      <x:c r="H154" s="12" t="str">
        <x:f>IF(B154="","",IF(F154="Cancelled","Cancelled",IF(F154="Complete","Complete",IF(C154="","Add date",IF(C154&lt;$F$5,"Overdue",IF(C154&lt;=$F$5+7,"Due within 7 days","Upcoming"))))))</x:f>
      </x:c>
      <x:c r="I154" s="12" t="str">
        <x:f>IF(OR(B154="",C154="",F154="Cancelled"),"",C154*1000+COUNTIFS($C$11:C154,C154,$B$11:B154,"&lt;&gt;",$F$11:F154,"&lt;&gt;Cancelled"))</x:f>
      </x:c>
      <x:c r="J154" s="3"/>
      <x:c r="K154" s="3"/>
      <x:c r="L154" s="3"/>
    </x:row>
    <x:row r="155" ht="23" customHeight="1">
      <x:c r="A155" s="3"/>
      <x:c r="B155" s="10"/>
      <x:c r="C155" s="13"/>
      <x:c r="D155" s="10"/>
      <x:c r="E155" s="10"/>
      <x:c r="F155" s="10"/>
      <x:c r="G155" s="14"/>
      <x:c r="H155" s="12" t="str">
        <x:f>IF(B155="","",IF(F155="Cancelled","Cancelled",IF(F155="Complete","Complete",IF(C155="","Add date",IF(C155&lt;$F$5,"Overdue",IF(C155&lt;=$F$5+7,"Due within 7 days","Upcoming"))))))</x:f>
      </x:c>
      <x:c r="I155" s="12" t="str">
        <x:f>IF(OR(B155="",C155="",F155="Cancelled"),"",C155*1000+COUNTIFS($C$11:C155,C155,$B$11:B155,"&lt;&gt;",$F$11:F155,"&lt;&gt;Cancelled"))</x:f>
      </x:c>
      <x:c r="J155" s="3"/>
      <x:c r="K155" s="3"/>
      <x:c r="L155" s="3"/>
    </x:row>
    <x:row r="156" ht="23" customHeight="1">
      <x:c r="A156" s="3"/>
      <x:c r="B156" s="10"/>
      <x:c r="C156" s="13"/>
      <x:c r="D156" s="10"/>
      <x:c r="E156" s="10"/>
      <x:c r="F156" s="10"/>
      <x:c r="G156" s="14"/>
      <x:c r="H156" s="12" t="str">
        <x:f>IF(B156="","",IF(F156="Cancelled","Cancelled",IF(F156="Complete","Complete",IF(C156="","Add date",IF(C156&lt;$F$5,"Overdue",IF(C156&lt;=$F$5+7,"Due within 7 days","Upcoming"))))))</x:f>
      </x:c>
      <x:c r="I156" s="12" t="str">
        <x:f>IF(OR(B156="",C156="",F156="Cancelled"),"",C156*1000+COUNTIFS($C$11:C156,C156,$B$11:B156,"&lt;&gt;",$F$11:F156,"&lt;&gt;Cancelled"))</x:f>
      </x:c>
      <x:c r="J156" s="3"/>
      <x:c r="K156" s="3"/>
      <x:c r="L156" s="3"/>
    </x:row>
    <x:row r="157" ht="23" customHeight="1">
      <x:c r="A157" s="3"/>
      <x:c r="B157" s="10"/>
      <x:c r="C157" s="13"/>
      <x:c r="D157" s="10"/>
      <x:c r="E157" s="10"/>
      <x:c r="F157" s="10"/>
      <x:c r="G157" s="14"/>
      <x:c r="H157" s="12" t="str">
        <x:f>IF(B157="","",IF(F157="Cancelled","Cancelled",IF(F157="Complete","Complete",IF(C157="","Add date",IF(C157&lt;$F$5,"Overdue",IF(C157&lt;=$F$5+7,"Due within 7 days","Upcoming"))))))</x:f>
      </x:c>
      <x:c r="I157" s="12" t="str">
        <x:f>IF(OR(B157="",C157="",F157="Cancelled"),"",C157*1000+COUNTIFS($C$11:C157,C157,$B$11:B157,"&lt;&gt;",$F$11:F157,"&lt;&gt;Cancelled"))</x:f>
      </x:c>
      <x:c r="J157" s="3"/>
      <x:c r="K157" s="3"/>
      <x:c r="L157" s="3"/>
    </x:row>
    <x:row r="158" ht="23" customHeight="1">
      <x:c r="A158" s="3"/>
      <x:c r="B158" s="10"/>
      <x:c r="C158" s="13"/>
      <x:c r="D158" s="10"/>
      <x:c r="E158" s="10"/>
      <x:c r="F158" s="10"/>
      <x:c r="G158" s="14"/>
      <x:c r="H158" s="12" t="str">
        <x:f>IF(B158="","",IF(F158="Cancelled","Cancelled",IF(F158="Complete","Complete",IF(C158="","Add date",IF(C158&lt;$F$5,"Overdue",IF(C158&lt;=$F$5+7,"Due within 7 days","Upcoming"))))))</x:f>
      </x:c>
      <x:c r="I158" s="12" t="str">
        <x:f>IF(OR(B158="",C158="",F158="Cancelled"),"",C158*1000+COUNTIFS($C$11:C158,C158,$B$11:B158,"&lt;&gt;",$F$11:F158,"&lt;&gt;Cancelled"))</x:f>
      </x:c>
      <x:c r="J158" s="3"/>
      <x:c r="K158" s="3"/>
      <x:c r="L158" s="3"/>
    </x:row>
    <x:row r="159" ht="23" customHeight="1">
      <x:c r="A159" s="3"/>
      <x:c r="B159" s="10"/>
      <x:c r="C159" s="13"/>
      <x:c r="D159" s="10"/>
      <x:c r="E159" s="10"/>
      <x:c r="F159" s="10"/>
      <x:c r="G159" s="14"/>
      <x:c r="H159" s="12" t="str">
        <x:f>IF(B159="","",IF(F159="Cancelled","Cancelled",IF(F159="Complete","Complete",IF(C159="","Add date",IF(C159&lt;$F$5,"Overdue",IF(C159&lt;=$F$5+7,"Due within 7 days","Upcoming"))))))</x:f>
      </x:c>
      <x:c r="I159" s="12" t="str">
        <x:f>IF(OR(B159="",C159="",F159="Cancelled"),"",C159*1000+COUNTIFS($C$11:C159,C159,$B$11:B159,"&lt;&gt;",$F$11:F159,"&lt;&gt;Cancelled"))</x:f>
      </x:c>
      <x:c r="J159" s="3"/>
      <x:c r="K159" s="3"/>
      <x:c r="L159" s="3"/>
    </x:row>
    <x:row r="160" ht="23" customHeight="1">
      <x:c r="A160" s="3"/>
      <x:c r="B160" s="10"/>
      <x:c r="C160" s="13"/>
      <x:c r="D160" s="10"/>
      <x:c r="E160" s="10"/>
      <x:c r="F160" s="10"/>
      <x:c r="G160" s="14"/>
      <x:c r="H160" s="12" t="str">
        <x:f>IF(B160="","",IF(F160="Cancelled","Cancelled",IF(F160="Complete","Complete",IF(C160="","Add date",IF(C160&lt;$F$5,"Overdue",IF(C160&lt;=$F$5+7,"Due within 7 days","Upcoming"))))))</x:f>
      </x:c>
      <x:c r="I160" s="12" t="str">
        <x:f>IF(OR(B160="",C160="",F160="Cancelled"),"",C160*1000+COUNTIFS($C$11:C160,C160,$B$11:B160,"&lt;&gt;",$F$11:F160,"&lt;&gt;Cancelled"))</x:f>
      </x:c>
      <x:c r="J160" s="3"/>
      <x:c r="K160" s="3"/>
      <x:c r="L160" s="3"/>
    </x:row>
    <x:row r="161" ht="23" customHeight="1">
      <x:c r="A161" s="3"/>
      <x:c r="B161" s="10"/>
      <x:c r="C161" s="13"/>
      <x:c r="D161" s="10"/>
      <x:c r="E161" s="10"/>
      <x:c r="F161" s="10"/>
      <x:c r="G161" s="14"/>
      <x:c r="H161" s="12" t="str">
        <x:f>IF(B161="","",IF(F161="Cancelled","Cancelled",IF(F161="Complete","Complete",IF(C161="","Add date",IF(C161&lt;$F$5,"Overdue",IF(C161&lt;=$F$5+7,"Due within 7 days","Upcoming"))))))</x:f>
      </x:c>
      <x:c r="I161" s="12" t="str">
        <x:f>IF(OR(B161="",C161="",F161="Cancelled"),"",C161*1000+COUNTIFS($C$11:C161,C161,$B$11:B161,"&lt;&gt;",$F$11:F161,"&lt;&gt;Cancelled"))</x:f>
      </x:c>
      <x:c r="J161" s="3"/>
      <x:c r="K161" s="3"/>
      <x:c r="L161" s="3"/>
    </x:row>
    <x:row r="162" ht="23" customHeight="1">
      <x:c r="A162" s="3"/>
      <x:c r="B162" s="10"/>
      <x:c r="C162" s="13"/>
      <x:c r="D162" s="10"/>
      <x:c r="E162" s="10"/>
      <x:c r="F162" s="10"/>
      <x:c r="G162" s="14"/>
      <x:c r="H162" s="12" t="str">
        <x:f>IF(B162="","",IF(F162="Cancelled","Cancelled",IF(F162="Complete","Complete",IF(C162="","Add date",IF(C162&lt;$F$5,"Overdue",IF(C162&lt;=$F$5+7,"Due within 7 days","Upcoming"))))))</x:f>
      </x:c>
      <x:c r="I162" s="12" t="str">
        <x:f>IF(OR(B162="",C162="",F162="Cancelled"),"",C162*1000+COUNTIFS($C$11:C162,C162,$B$11:B162,"&lt;&gt;",$F$11:F162,"&lt;&gt;Cancelled"))</x:f>
      </x:c>
      <x:c r="J162" s="3"/>
      <x:c r="K162" s="3"/>
      <x:c r="L162" s="3"/>
    </x:row>
    <x:row r="163" ht="23" customHeight="1">
      <x:c r="A163" s="3"/>
      <x:c r="B163" s="10"/>
      <x:c r="C163" s="13"/>
      <x:c r="D163" s="10"/>
      <x:c r="E163" s="10"/>
      <x:c r="F163" s="10"/>
      <x:c r="G163" s="14"/>
      <x:c r="H163" s="12" t="str">
        <x:f>IF(B163="","",IF(F163="Cancelled","Cancelled",IF(F163="Complete","Complete",IF(C163="","Add date",IF(C163&lt;$F$5,"Overdue",IF(C163&lt;=$F$5+7,"Due within 7 days","Upcoming"))))))</x:f>
      </x:c>
      <x:c r="I163" s="12" t="str">
        <x:f>IF(OR(B163="",C163="",F163="Cancelled"),"",C163*1000+COUNTIFS($C$11:C163,C163,$B$11:B163,"&lt;&gt;",$F$11:F163,"&lt;&gt;Cancelled"))</x:f>
      </x:c>
      <x:c r="J163" s="3"/>
      <x:c r="K163" s="3"/>
      <x:c r="L163" s="3"/>
    </x:row>
    <x:row r="164" ht="23" customHeight="1">
      <x:c r="A164" s="3"/>
      <x:c r="B164" s="10"/>
      <x:c r="C164" s="13"/>
      <x:c r="D164" s="10"/>
      <x:c r="E164" s="10"/>
      <x:c r="F164" s="10"/>
      <x:c r="G164" s="14"/>
      <x:c r="H164" s="12" t="str">
        <x:f>IF(B164="","",IF(F164="Cancelled","Cancelled",IF(F164="Complete","Complete",IF(C164="","Add date",IF(C164&lt;$F$5,"Overdue",IF(C164&lt;=$F$5+7,"Due within 7 days","Upcoming"))))))</x:f>
      </x:c>
      <x:c r="I164" s="12" t="str">
        <x:f>IF(OR(B164="",C164="",F164="Cancelled"),"",C164*1000+COUNTIFS($C$11:C164,C164,$B$11:B164,"&lt;&gt;",$F$11:F164,"&lt;&gt;Cancelled"))</x:f>
      </x:c>
      <x:c r="J164" s="3"/>
      <x:c r="K164" s="3"/>
      <x:c r="L164" s="3"/>
    </x:row>
    <x:row r="165" ht="23" customHeight="1">
      <x:c r="A165" s="3"/>
      <x:c r="B165" s="10"/>
      <x:c r="C165" s="13"/>
      <x:c r="D165" s="10"/>
      <x:c r="E165" s="10"/>
      <x:c r="F165" s="10"/>
      <x:c r="G165" s="14"/>
      <x:c r="H165" s="12" t="str">
        <x:f>IF(B165="","",IF(F165="Cancelled","Cancelled",IF(F165="Complete","Complete",IF(C165="","Add date",IF(C165&lt;$F$5,"Overdue",IF(C165&lt;=$F$5+7,"Due within 7 days","Upcoming"))))))</x:f>
      </x:c>
      <x:c r="I165" s="12" t="str">
        <x:f>IF(OR(B165="",C165="",F165="Cancelled"),"",C165*1000+COUNTIFS($C$11:C165,C165,$B$11:B165,"&lt;&gt;",$F$11:F165,"&lt;&gt;Cancelled"))</x:f>
      </x:c>
      <x:c r="J165" s="3"/>
      <x:c r="K165" s="3"/>
      <x:c r="L165" s="3"/>
    </x:row>
    <x:row r="166" ht="23" customHeight="1">
      <x:c r="A166" s="3"/>
      <x:c r="B166" s="10"/>
      <x:c r="C166" s="13"/>
      <x:c r="D166" s="10"/>
      <x:c r="E166" s="10"/>
      <x:c r="F166" s="10"/>
      <x:c r="G166" s="14"/>
      <x:c r="H166" s="12" t="str">
        <x:f>IF(B166="","",IF(F166="Cancelled","Cancelled",IF(F166="Complete","Complete",IF(C166="","Add date",IF(C166&lt;$F$5,"Overdue",IF(C166&lt;=$F$5+7,"Due within 7 days","Upcoming"))))))</x:f>
      </x:c>
      <x:c r="I166" s="12" t="str">
        <x:f>IF(OR(B166="",C166="",F166="Cancelled"),"",C166*1000+COUNTIFS($C$11:C166,C166,$B$11:B166,"&lt;&gt;",$F$11:F166,"&lt;&gt;Cancelled"))</x:f>
      </x:c>
      <x:c r="J166" s="3"/>
      <x:c r="K166" s="3"/>
      <x:c r="L166" s="3"/>
    </x:row>
    <x:row r="167" ht="23" customHeight="1">
      <x:c r="A167" s="3"/>
      <x:c r="B167" s="10"/>
      <x:c r="C167" s="13"/>
      <x:c r="D167" s="10"/>
      <x:c r="E167" s="10"/>
      <x:c r="F167" s="10"/>
      <x:c r="G167" s="14"/>
      <x:c r="H167" s="12" t="str">
        <x:f>IF(B167="","",IF(F167="Cancelled","Cancelled",IF(F167="Complete","Complete",IF(C167="","Add date",IF(C167&lt;$F$5,"Overdue",IF(C167&lt;=$F$5+7,"Due within 7 days","Upcoming"))))))</x:f>
      </x:c>
      <x:c r="I167" s="12" t="str">
        <x:f>IF(OR(B167="",C167="",F167="Cancelled"),"",C167*1000+COUNTIFS($C$11:C167,C167,$B$11:B167,"&lt;&gt;",$F$11:F167,"&lt;&gt;Cancelled"))</x:f>
      </x:c>
      <x:c r="J167" s="3"/>
      <x:c r="K167" s="3"/>
      <x:c r="L167" s="3"/>
    </x:row>
    <x:row r="168" ht="23" customHeight="1">
      <x:c r="A168" s="3"/>
      <x:c r="B168" s="10"/>
      <x:c r="C168" s="13"/>
      <x:c r="D168" s="10"/>
      <x:c r="E168" s="10"/>
      <x:c r="F168" s="10"/>
      <x:c r="G168" s="14"/>
      <x:c r="H168" s="12" t="str">
        <x:f>IF(B168="","",IF(F168="Cancelled","Cancelled",IF(F168="Complete","Complete",IF(C168="","Add date",IF(C168&lt;$F$5,"Overdue",IF(C168&lt;=$F$5+7,"Due within 7 days","Upcoming"))))))</x:f>
      </x:c>
      <x:c r="I168" s="12" t="str">
        <x:f>IF(OR(B168="",C168="",F168="Cancelled"),"",C168*1000+COUNTIFS($C$11:C168,C168,$B$11:B168,"&lt;&gt;",$F$11:F168,"&lt;&gt;Cancelled"))</x:f>
      </x:c>
      <x:c r="J168" s="3"/>
      <x:c r="K168" s="3"/>
      <x:c r="L168" s="3"/>
    </x:row>
    <x:row r="169" ht="23" customHeight="1">
      <x:c r="A169" s="3"/>
      <x:c r="B169" s="10"/>
      <x:c r="C169" s="13"/>
      <x:c r="D169" s="10"/>
      <x:c r="E169" s="10"/>
      <x:c r="F169" s="10"/>
      <x:c r="G169" s="14"/>
      <x:c r="H169" s="12" t="str">
        <x:f>IF(B169="","",IF(F169="Cancelled","Cancelled",IF(F169="Complete","Complete",IF(C169="","Add date",IF(C169&lt;$F$5,"Overdue",IF(C169&lt;=$F$5+7,"Due within 7 days","Upcoming"))))))</x:f>
      </x:c>
      <x:c r="I169" s="12" t="str">
        <x:f>IF(OR(B169="",C169="",F169="Cancelled"),"",C169*1000+COUNTIFS($C$11:C169,C169,$B$11:B169,"&lt;&gt;",$F$11:F169,"&lt;&gt;Cancelled"))</x:f>
      </x:c>
      <x:c r="J169" s="3"/>
      <x:c r="K169" s="3"/>
      <x:c r="L169" s="3"/>
    </x:row>
    <x:row r="170" ht="23" customHeight="1">
      <x:c r="A170" s="3"/>
      <x:c r="B170" s="10"/>
      <x:c r="C170" s="13"/>
      <x:c r="D170" s="10"/>
      <x:c r="E170" s="10"/>
      <x:c r="F170" s="10"/>
      <x:c r="G170" s="14"/>
      <x:c r="H170" s="12" t="str">
        <x:f>IF(B170="","",IF(F170="Cancelled","Cancelled",IF(F170="Complete","Complete",IF(C170="","Add date",IF(C170&lt;$F$5,"Overdue",IF(C170&lt;=$F$5+7,"Due within 7 days","Upcoming"))))))</x:f>
      </x:c>
      <x:c r="I170" s="12" t="str">
        <x:f>IF(OR(B170="",C170="",F170="Cancelled"),"",C170*1000+COUNTIFS($C$11:C170,C170,$B$11:B170,"&lt;&gt;",$F$11:F170,"&lt;&gt;Cancelled"))</x:f>
      </x:c>
      <x:c r="J170" s="3"/>
      <x:c r="K170" s="3"/>
      <x:c r="L170" s="3"/>
    </x:row>
    <x:row r="171" ht="23" customHeight="1">
      <x:c r="A171" s="3"/>
      <x:c r="B171" s="10"/>
      <x:c r="C171" s="13"/>
      <x:c r="D171" s="10"/>
      <x:c r="E171" s="10"/>
      <x:c r="F171" s="10"/>
      <x:c r="G171" s="14"/>
      <x:c r="H171" s="12" t="str">
        <x:f>IF(B171="","",IF(F171="Cancelled","Cancelled",IF(F171="Complete","Complete",IF(C171="","Add date",IF(C171&lt;$F$5,"Overdue",IF(C171&lt;=$F$5+7,"Due within 7 days","Upcoming"))))))</x:f>
      </x:c>
      <x:c r="I171" s="12" t="str">
        <x:f>IF(OR(B171="",C171="",F171="Cancelled"),"",C171*1000+COUNTIFS($C$11:C171,C171,$B$11:B171,"&lt;&gt;",$F$11:F171,"&lt;&gt;Cancelled"))</x:f>
      </x:c>
      <x:c r="J171" s="3"/>
      <x:c r="K171" s="3"/>
      <x:c r="L171" s="3"/>
    </x:row>
    <x:row r="172" ht="23" customHeight="1">
      <x:c r="A172" s="3"/>
      <x:c r="B172" s="10"/>
      <x:c r="C172" s="13"/>
      <x:c r="D172" s="10"/>
      <x:c r="E172" s="10"/>
      <x:c r="F172" s="10"/>
      <x:c r="G172" s="14"/>
      <x:c r="H172" s="12" t="str">
        <x:f>IF(B172="","",IF(F172="Cancelled","Cancelled",IF(F172="Complete","Complete",IF(C172="","Add date",IF(C172&lt;$F$5,"Overdue",IF(C172&lt;=$F$5+7,"Due within 7 days","Upcoming"))))))</x:f>
      </x:c>
      <x:c r="I172" s="12" t="str">
        <x:f>IF(OR(B172="",C172="",F172="Cancelled"),"",C172*1000+COUNTIFS($C$11:C172,C172,$B$11:B172,"&lt;&gt;",$F$11:F172,"&lt;&gt;Cancelled"))</x:f>
      </x:c>
      <x:c r="J172" s="3"/>
      <x:c r="K172" s="3"/>
      <x:c r="L172" s="3"/>
    </x:row>
    <x:row r="173" ht="23" customHeight="1">
      <x:c r="A173" s="3"/>
      <x:c r="B173" s="10"/>
      <x:c r="C173" s="13"/>
      <x:c r="D173" s="10"/>
      <x:c r="E173" s="10"/>
      <x:c r="F173" s="10"/>
      <x:c r="G173" s="14"/>
      <x:c r="H173" s="12" t="str">
        <x:f>IF(B173="","",IF(F173="Cancelled","Cancelled",IF(F173="Complete","Complete",IF(C173="","Add date",IF(C173&lt;$F$5,"Overdue",IF(C173&lt;=$F$5+7,"Due within 7 days","Upcoming"))))))</x:f>
      </x:c>
      <x:c r="I173" s="12" t="str">
        <x:f>IF(OR(B173="",C173="",F173="Cancelled"),"",C173*1000+COUNTIFS($C$11:C173,C173,$B$11:B173,"&lt;&gt;",$F$11:F173,"&lt;&gt;Cancelled"))</x:f>
      </x:c>
      <x:c r="J173" s="3"/>
      <x:c r="K173" s="3"/>
      <x:c r="L173" s="3"/>
    </x:row>
    <x:row r="174" ht="23" customHeight="1">
      <x:c r="A174" s="3"/>
      <x:c r="B174" s="10"/>
      <x:c r="C174" s="13"/>
      <x:c r="D174" s="10"/>
      <x:c r="E174" s="10"/>
      <x:c r="F174" s="10"/>
      <x:c r="G174" s="14"/>
      <x:c r="H174" s="12" t="str">
        <x:f>IF(B174="","",IF(F174="Cancelled","Cancelled",IF(F174="Complete","Complete",IF(C174="","Add date",IF(C174&lt;$F$5,"Overdue",IF(C174&lt;=$F$5+7,"Due within 7 days","Upcoming"))))))</x:f>
      </x:c>
      <x:c r="I174" s="12" t="str">
        <x:f>IF(OR(B174="",C174="",F174="Cancelled"),"",C174*1000+COUNTIFS($C$11:C174,C174,$B$11:B174,"&lt;&gt;",$F$11:F174,"&lt;&gt;Cancelled"))</x:f>
      </x:c>
      <x:c r="J174" s="3"/>
      <x:c r="K174" s="3"/>
      <x:c r="L174" s="3"/>
    </x:row>
    <x:row r="175" ht="23" customHeight="1">
      <x:c r="A175" s="3"/>
      <x:c r="B175" s="10"/>
      <x:c r="C175" s="13"/>
      <x:c r="D175" s="10"/>
      <x:c r="E175" s="10"/>
      <x:c r="F175" s="10"/>
      <x:c r="G175" s="14"/>
      <x:c r="H175" s="12" t="str">
        <x:f>IF(B175="","",IF(F175="Cancelled","Cancelled",IF(F175="Complete","Complete",IF(C175="","Add date",IF(C175&lt;$F$5,"Overdue",IF(C175&lt;=$F$5+7,"Due within 7 days","Upcoming"))))))</x:f>
      </x:c>
      <x:c r="I175" s="12" t="str">
        <x:f>IF(OR(B175="",C175="",F175="Cancelled"),"",C175*1000+COUNTIFS($C$11:C175,C175,$B$11:B175,"&lt;&gt;",$F$11:F175,"&lt;&gt;Cancelled"))</x:f>
      </x:c>
      <x:c r="J175" s="3"/>
      <x:c r="K175" s="3"/>
      <x:c r="L175" s="3"/>
    </x:row>
    <x:row r="176" ht="23" customHeight="1">
      <x:c r="A176" s="3"/>
      <x:c r="B176" s="10"/>
      <x:c r="C176" s="13"/>
      <x:c r="D176" s="10"/>
      <x:c r="E176" s="10"/>
      <x:c r="F176" s="10"/>
      <x:c r="G176" s="14"/>
      <x:c r="H176" s="12" t="str">
        <x:f>IF(B176="","",IF(F176="Cancelled","Cancelled",IF(F176="Complete","Complete",IF(C176="","Add date",IF(C176&lt;$F$5,"Overdue",IF(C176&lt;=$F$5+7,"Due within 7 days","Upcoming"))))))</x:f>
      </x:c>
      <x:c r="I176" s="12" t="str">
        <x:f>IF(OR(B176="",C176="",F176="Cancelled"),"",C176*1000+COUNTIFS($C$11:C176,C176,$B$11:B176,"&lt;&gt;",$F$11:F176,"&lt;&gt;Cancelled"))</x:f>
      </x:c>
      <x:c r="J176" s="3"/>
      <x:c r="K176" s="3"/>
      <x:c r="L176" s="3"/>
    </x:row>
    <x:row r="177" ht="23" customHeight="1">
      <x:c r="A177" s="3"/>
      <x:c r="B177" s="10"/>
      <x:c r="C177" s="13"/>
      <x:c r="D177" s="10"/>
      <x:c r="E177" s="10"/>
      <x:c r="F177" s="10"/>
      <x:c r="G177" s="14"/>
      <x:c r="H177" s="12" t="str">
        <x:f>IF(B177="","",IF(F177="Cancelled","Cancelled",IF(F177="Complete","Complete",IF(C177="","Add date",IF(C177&lt;$F$5,"Overdue",IF(C177&lt;=$F$5+7,"Due within 7 days","Upcoming"))))))</x:f>
      </x:c>
      <x:c r="I177" s="12" t="str">
        <x:f>IF(OR(B177="",C177="",F177="Cancelled"),"",C177*1000+COUNTIFS($C$11:C177,C177,$B$11:B177,"&lt;&gt;",$F$11:F177,"&lt;&gt;Cancelled"))</x:f>
      </x:c>
      <x:c r="J177" s="3"/>
      <x:c r="K177" s="3"/>
      <x:c r="L177" s="3"/>
    </x:row>
    <x:row r="178" ht="23" customHeight="1">
      <x:c r="A178" s="3"/>
      <x:c r="B178" s="10"/>
      <x:c r="C178" s="13"/>
      <x:c r="D178" s="10"/>
      <x:c r="E178" s="10"/>
      <x:c r="F178" s="10"/>
      <x:c r="G178" s="14"/>
      <x:c r="H178" s="12" t="str">
        <x:f>IF(B178="","",IF(F178="Cancelled","Cancelled",IF(F178="Complete","Complete",IF(C178="","Add date",IF(C178&lt;$F$5,"Overdue",IF(C178&lt;=$F$5+7,"Due within 7 days","Upcoming"))))))</x:f>
      </x:c>
      <x:c r="I178" s="12" t="str">
        <x:f>IF(OR(B178="",C178="",F178="Cancelled"),"",C178*1000+COUNTIFS($C$11:C178,C178,$B$11:B178,"&lt;&gt;",$F$11:F178,"&lt;&gt;Cancelled"))</x:f>
      </x:c>
      <x:c r="J178" s="3"/>
      <x:c r="K178" s="3"/>
      <x:c r="L178" s="3"/>
    </x:row>
    <x:row r="179" ht="23" customHeight="1">
      <x:c r="A179" s="3"/>
      <x:c r="B179" s="10"/>
      <x:c r="C179" s="13"/>
      <x:c r="D179" s="10"/>
      <x:c r="E179" s="10"/>
      <x:c r="F179" s="10"/>
      <x:c r="G179" s="14"/>
      <x:c r="H179" s="12" t="str">
        <x:f>IF(B179="","",IF(F179="Cancelled","Cancelled",IF(F179="Complete","Complete",IF(C179="","Add date",IF(C179&lt;$F$5,"Overdue",IF(C179&lt;=$F$5+7,"Due within 7 days","Upcoming"))))))</x:f>
      </x:c>
      <x:c r="I179" s="12" t="str">
        <x:f>IF(OR(B179="",C179="",F179="Cancelled"),"",C179*1000+COUNTIFS($C$11:C179,C179,$B$11:B179,"&lt;&gt;",$F$11:F179,"&lt;&gt;Cancelled"))</x:f>
      </x:c>
      <x:c r="J179" s="3"/>
      <x:c r="K179" s="3"/>
      <x:c r="L179" s="3"/>
    </x:row>
    <x:row r="180" ht="23" customHeight="1">
      <x:c r="A180" s="3"/>
      <x:c r="B180" s="10"/>
      <x:c r="C180" s="13"/>
      <x:c r="D180" s="10"/>
      <x:c r="E180" s="10"/>
      <x:c r="F180" s="10"/>
      <x:c r="G180" s="14"/>
      <x:c r="H180" s="12" t="str">
        <x:f>IF(B180="","",IF(F180="Cancelled","Cancelled",IF(F180="Complete","Complete",IF(C180="","Add date",IF(C180&lt;$F$5,"Overdue",IF(C180&lt;=$F$5+7,"Due within 7 days","Upcoming"))))))</x:f>
      </x:c>
      <x:c r="I180" s="12" t="str">
        <x:f>IF(OR(B180="",C180="",F180="Cancelled"),"",C180*1000+COUNTIFS($C$11:C180,C180,$B$11:B180,"&lt;&gt;",$F$11:F180,"&lt;&gt;Cancelled"))</x:f>
      </x:c>
      <x:c r="J180" s="3"/>
      <x:c r="K180" s="3"/>
      <x:c r="L180" s="3"/>
    </x:row>
    <x:row r="181" ht="23" customHeight="1">
      <x:c r="A181" s="3"/>
      <x:c r="B181" s="10"/>
      <x:c r="C181" s="13"/>
      <x:c r="D181" s="10"/>
      <x:c r="E181" s="10"/>
      <x:c r="F181" s="10"/>
      <x:c r="G181" s="14"/>
      <x:c r="H181" s="12" t="str">
        <x:f>IF(B181="","",IF(F181="Cancelled","Cancelled",IF(F181="Complete","Complete",IF(C181="","Add date",IF(C181&lt;$F$5,"Overdue",IF(C181&lt;=$F$5+7,"Due within 7 days","Upcoming"))))))</x:f>
      </x:c>
      <x:c r="I181" s="12" t="str">
        <x:f>IF(OR(B181="",C181="",F181="Cancelled"),"",C181*1000+COUNTIFS($C$11:C181,C181,$B$11:B181,"&lt;&gt;",$F$11:F181,"&lt;&gt;Cancelled"))</x:f>
      </x:c>
      <x:c r="J181" s="3"/>
      <x:c r="K181" s="3"/>
      <x:c r="L181" s="3"/>
    </x:row>
    <x:row r="182" ht="23" customHeight="1">
      <x:c r="A182" s="3"/>
      <x:c r="B182" s="10"/>
      <x:c r="C182" s="13"/>
      <x:c r="D182" s="10"/>
      <x:c r="E182" s="10"/>
      <x:c r="F182" s="10"/>
      <x:c r="G182" s="14"/>
      <x:c r="H182" s="12" t="str">
        <x:f>IF(B182="","",IF(F182="Cancelled","Cancelled",IF(F182="Complete","Complete",IF(C182="","Add date",IF(C182&lt;$F$5,"Overdue",IF(C182&lt;=$F$5+7,"Due within 7 days","Upcoming"))))))</x:f>
      </x:c>
      <x:c r="I182" s="12" t="str">
        <x:f>IF(OR(B182="",C182="",F182="Cancelled"),"",C182*1000+COUNTIFS($C$11:C182,C182,$B$11:B182,"&lt;&gt;",$F$11:F182,"&lt;&gt;Cancelled"))</x:f>
      </x:c>
      <x:c r="J182" s="3"/>
      <x:c r="K182" s="3"/>
      <x:c r="L182" s="3"/>
    </x:row>
    <x:row r="183" ht="23" customHeight="1">
      <x:c r="A183" s="3"/>
      <x:c r="B183" s="10"/>
      <x:c r="C183" s="13"/>
      <x:c r="D183" s="10"/>
      <x:c r="E183" s="10"/>
      <x:c r="F183" s="10"/>
      <x:c r="G183" s="14"/>
      <x:c r="H183" s="12" t="str">
        <x:f>IF(B183="","",IF(F183="Cancelled","Cancelled",IF(F183="Complete","Complete",IF(C183="","Add date",IF(C183&lt;$F$5,"Overdue",IF(C183&lt;=$F$5+7,"Due within 7 days","Upcoming"))))))</x:f>
      </x:c>
      <x:c r="I183" s="12" t="str">
        <x:f>IF(OR(B183="",C183="",F183="Cancelled"),"",C183*1000+COUNTIFS($C$11:C183,C183,$B$11:B183,"&lt;&gt;",$F$11:F183,"&lt;&gt;Cancelled"))</x:f>
      </x:c>
      <x:c r="J183" s="3"/>
      <x:c r="K183" s="3"/>
      <x:c r="L183" s="3"/>
    </x:row>
    <x:row r="184" ht="23" customHeight="1">
      <x:c r="A184" s="3"/>
      <x:c r="B184" s="10"/>
      <x:c r="C184" s="13"/>
      <x:c r="D184" s="10"/>
      <x:c r="E184" s="10"/>
      <x:c r="F184" s="10"/>
      <x:c r="G184" s="14"/>
      <x:c r="H184" s="12" t="str">
        <x:f>IF(B184="","",IF(F184="Cancelled","Cancelled",IF(F184="Complete","Complete",IF(C184="","Add date",IF(C184&lt;$F$5,"Overdue",IF(C184&lt;=$F$5+7,"Due within 7 days","Upcoming"))))))</x:f>
      </x:c>
      <x:c r="I184" s="12" t="str">
        <x:f>IF(OR(B184="",C184="",F184="Cancelled"),"",C184*1000+COUNTIFS($C$11:C184,C184,$B$11:B184,"&lt;&gt;",$F$11:F184,"&lt;&gt;Cancelled"))</x:f>
      </x:c>
      <x:c r="J184" s="3"/>
      <x:c r="K184" s="3"/>
      <x:c r="L184" s="3"/>
    </x:row>
    <x:row r="185" ht="23" customHeight="1">
      <x:c r="A185" s="3"/>
      <x:c r="B185" s="10"/>
      <x:c r="C185" s="13"/>
      <x:c r="D185" s="10"/>
      <x:c r="E185" s="10"/>
      <x:c r="F185" s="10"/>
      <x:c r="G185" s="14"/>
      <x:c r="H185" s="12" t="str">
        <x:f>IF(B185="","",IF(F185="Cancelled","Cancelled",IF(F185="Complete","Complete",IF(C185="","Add date",IF(C185&lt;$F$5,"Overdue",IF(C185&lt;=$F$5+7,"Due within 7 days","Upcoming"))))))</x:f>
      </x:c>
      <x:c r="I185" s="12" t="str">
        <x:f>IF(OR(B185="",C185="",F185="Cancelled"),"",C185*1000+COUNTIFS($C$11:C185,C185,$B$11:B185,"&lt;&gt;",$F$11:F185,"&lt;&gt;Cancelled"))</x:f>
      </x:c>
      <x:c r="J185" s="3"/>
      <x:c r="K185" s="3"/>
      <x:c r="L185" s="3"/>
    </x:row>
    <x:row r="186" ht="23" customHeight="1">
      <x:c r="A186" s="3"/>
      <x:c r="B186" s="10"/>
      <x:c r="C186" s="13"/>
      <x:c r="D186" s="10"/>
      <x:c r="E186" s="10"/>
      <x:c r="F186" s="10"/>
      <x:c r="G186" s="14"/>
      <x:c r="H186" s="12" t="str">
        <x:f>IF(B186="","",IF(F186="Cancelled","Cancelled",IF(F186="Complete","Complete",IF(C186="","Add date",IF(C186&lt;$F$5,"Overdue",IF(C186&lt;=$F$5+7,"Due within 7 days","Upcoming"))))))</x:f>
      </x:c>
      <x:c r="I186" s="12" t="str">
        <x:f>IF(OR(B186="",C186="",F186="Cancelled"),"",C186*1000+COUNTIFS($C$11:C186,C186,$B$11:B186,"&lt;&gt;",$F$11:F186,"&lt;&gt;Cancelled"))</x:f>
      </x:c>
      <x:c r="J186" s="3"/>
      <x:c r="K186" s="3"/>
      <x:c r="L186" s="3"/>
    </x:row>
    <x:row r="187" ht="23" customHeight="1">
      <x:c r="A187" s="3"/>
      <x:c r="B187" s="10"/>
      <x:c r="C187" s="13"/>
      <x:c r="D187" s="10"/>
      <x:c r="E187" s="10"/>
      <x:c r="F187" s="10"/>
      <x:c r="G187" s="14"/>
      <x:c r="H187" s="12" t="str">
        <x:f>IF(B187="","",IF(F187="Cancelled","Cancelled",IF(F187="Complete","Complete",IF(C187="","Add date",IF(C187&lt;$F$5,"Overdue",IF(C187&lt;=$F$5+7,"Due within 7 days","Upcoming"))))))</x:f>
      </x:c>
      <x:c r="I187" s="12" t="str">
        <x:f>IF(OR(B187="",C187="",F187="Cancelled"),"",C187*1000+COUNTIFS($C$11:C187,C187,$B$11:B187,"&lt;&gt;",$F$11:F187,"&lt;&gt;Cancelled"))</x:f>
      </x:c>
      <x:c r="J187" s="3"/>
      <x:c r="K187" s="3"/>
      <x:c r="L187" s="3"/>
    </x:row>
    <x:row r="188" ht="23" customHeight="1">
      <x:c r="A188" s="3"/>
      <x:c r="B188" s="10"/>
      <x:c r="C188" s="13"/>
      <x:c r="D188" s="10"/>
      <x:c r="E188" s="10"/>
      <x:c r="F188" s="10"/>
      <x:c r="G188" s="14"/>
      <x:c r="H188" s="12" t="str">
        <x:f>IF(B188="","",IF(F188="Cancelled","Cancelled",IF(F188="Complete","Complete",IF(C188="","Add date",IF(C188&lt;$F$5,"Overdue",IF(C188&lt;=$F$5+7,"Due within 7 days","Upcoming"))))))</x:f>
      </x:c>
      <x:c r="I188" s="12" t="str">
        <x:f>IF(OR(B188="",C188="",F188="Cancelled"),"",C188*1000+COUNTIFS($C$11:C188,C188,$B$11:B188,"&lt;&gt;",$F$11:F188,"&lt;&gt;Cancelled"))</x:f>
      </x:c>
      <x:c r="J188" s="3"/>
      <x:c r="K188" s="3"/>
      <x:c r="L188" s="3"/>
    </x:row>
    <x:row r="189" ht="23" customHeight="1">
      <x:c r="A189" s="3"/>
      <x:c r="B189" s="10"/>
      <x:c r="C189" s="13"/>
      <x:c r="D189" s="10"/>
      <x:c r="E189" s="10"/>
      <x:c r="F189" s="10"/>
      <x:c r="G189" s="14"/>
      <x:c r="H189" s="12" t="str">
        <x:f>IF(B189="","",IF(F189="Cancelled","Cancelled",IF(F189="Complete","Complete",IF(C189="","Add date",IF(C189&lt;$F$5,"Overdue",IF(C189&lt;=$F$5+7,"Due within 7 days","Upcoming"))))))</x:f>
      </x:c>
      <x:c r="I189" s="12" t="str">
        <x:f>IF(OR(B189="",C189="",F189="Cancelled"),"",C189*1000+COUNTIFS($C$11:C189,C189,$B$11:B189,"&lt;&gt;",$F$11:F189,"&lt;&gt;Cancelled"))</x:f>
      </x:c>
      <x:c r="J189" s="3"/>
      <x:c r="K189" s="3"/>
      <x:c r="L189" s="3"/>
    </x:row>
    <x:row r="190" ht="23" customHeight="1">
      <x:c r="A190" s="3"/>
      <x:c r="B190" s="10"/>
      <x:c r="C190" s="13"/>
      <x:c r="D190" s="10"/>
      <x:c r="E190" s="10"/>
      <x:c r="F190" s="10"/>
      <x:c r="G190" s="14"/>
      <x:c r="H190" s="12" t="str">
        <x:f>IF(B190="","",IF(F190="Cancelled","Cancelled",IF(F190="Complete","Complete",IF(C190="","Add date",IF(C190&lt;$F$5,"Overdue",IF(C190&lt;=$F$5+7,"Due within 7 days","Upcoming"))))))</x:f>
      </x:c>
      <x:c r="I190" s="12" t="str">
        <x:f>IF(OR(B190="",C190="",F190="Cancelled"),"",C190*1000+COUNTIFS($C$11:C190,C190,$B$11:B190,"&lt;&gt;",$F$11:F190,"&lt;&gt;Cancelled"))</x:f>
      </x:c>
      <x:c r="J190" s="3"/>
      <x:c r="K190" s="3"/>
      <x:c r="L190" s="3"/>
    </x:row>
    <x:row r="191" ht="23" customHeight="1">
      <x:c r="A191" s="3"/>
      <x:c r="B191" s="10"/>
      <x:c r="C191" s="13"/>
      <x:c r="D191" s="10"/>
      <x:c r="E191" s="10"/>
      <x:c r="F191" s="10"/>
      <x:c r="G191" s="14"/>
      <x:c r="H191" s="12" t="str">
        <x:f>IF(B191="","",IF(F191="Cancelled","Cancelled",IF(F191="Complete","Complete",IF(C191="","Add date",IF(C191&lt;$F$5,"Overdue",IF(C191&lt;=$F$5+7,"Due within 7 days","Upcoming"))))))</x:f>
      </x:c>
      <x:c r="I191" s="12" t="str">
        <x:f>IF(OR(B191="",C191="",F191="Cancelled"),"",C191*1000+COUNTIFS($C$11:C191,C191,$B$11:B191,"&lt;&gt;",$F$11:F191,"&lt;&gt;Cancelled"))</x:f>
      </x:c>
      <x:c r="J191" s="3"/>
      <x:c r="K191" s="3"/>
      <x:c r="L191" s="3"/>
    </x:row>
    <x:row r="192" ht="23" customHeight="1">
      <x:c r="A192" s="3"/>
      <x:c r="B192" s="10"/>
      <x:c r="C192" s="13"/>
      <x:c r="D192" s="10"/>
      <x:c r="E192" s="10"/>
      <x:c r="F192" s="10"/>
      <x:c r="G192" s="14"/>
      <x:c r="H192" s="12" t="str">
        <x:f>IF(B192="","",IF(F192="Cancelled","Cancelled",IF(F192="Complete","Complete",IF(C192="","Add date",IF(C192&lt;$F$5,"Overdue",IF(C192&lt;=$F$5+7,"Due within 7 days","Upcoming"))))))</x:f>
      </x:c>
      <x:c r="I192" s="12" t="str">
        <x:f>IF(OR(B192="",C192="",F192="Cancelled"),"",C192*1000+COUNTIFS($C$11:C192,C192,$B$11:B192,"&lt;&gt;",$F$11:F192,"&lt;&gt;Cancelled"))</x:f>
      </x:c>
      <x:c r="J192" s="3"/>
      <x:c r="K192" s="3"/>
      <x:c r="L192" s="3"/>
    </x:row>
    <x:row r="193" ht="23" customHeight="1">
      <x:c r="A193" s="3"/>
      <x:c r="B193" s="10"/>
      <x:c r="C193" s="13"/>
      <x:c r="D193" s="10"/>
      <x:c r="E193" s="10"/>
      <x:c r="F193" s="10"/>
      <x:c r="G193" s="14"/>
      <x:c r="H193" s="12" t="str">
        <x:f>IF(B193="","",IF(F193="Cancelled","Cancelled",IF(F193="Complete","Complete",IF(C193="","Add date",IF(C193&lt;$F$5,"Overdue",IF(C193&lt;=$F$5+7,"Due within 7 days","Upcoming"))))))</x:f>
      </x:c>
      <x:c r="I193" s="12" t="str">
        <x:f>IF(OR(B193="",C193="",F193="Cancelled"),"",C193*1000+COUNTIFS($C$11:C193,C193,$B$11:B193,"&lt;&gt;",$F$11:F193,"&lt;&gt;Cancelled"))</x:f>
      </x:c>
      <x:c r="J193" s="3"/>
      <x:c r="K193" s="3"/>
      <x:c r="L193" s="3"/>
    </x:row>
    <x:row r="194" ht="23" customHeight="1">
      <x:c r="A194" s="3"/>
      <x:c r="B194" s="10"/>
      <x:c r="C194" s="13"/>
      <x:c r="D194" s="10"/>
      <x:c r="E194" s="10"/>
      <x:c r="F194" s="10"/>
      <x:c r="G194" s="14"/>
      <x:c r="H194" s="12" t="str">
        <x:f>IF(B194="","",IF(F194="Cancelled","Cancelled",IF(F194="Complete","Complete",IF(C194="","Add date",IF(C194&lt;$F$5,"Overdue",IF(C194&lt;=$F$5+7,"Due within 7 days","Upcoming"))))))</x:f>
      </x:c>
      <x:c r="I194" s="12" t="str">
        <x:f>IF(OR(B194="",C194="",F194="Cancelled"),"",C194*1000+COUNTIFS($C$11:C194,C194,$B$11:B194,"&lt;&gt;",$F$11:F194,"&lt;&gt;Cancelled"))</x:f>
      </x:c>
      <x:c r="J194" s="3"/>
      <x:c r="K194" s="3"/>
      <x:c r="L194" s="3"/>
    </x:row>
    <x:row r="195" ht="23" customHeight="1">
      <x:c r="A195" s="3"/>
      <x:c r="B195" s="10"/>
      <x:c r="C195" s="13"/>
      <x:c r="D195" s="10"/>
      <x:c r="E195" s="10"/>
      <x:c r="F195" s="10"/>
      <x:c r="G195" s="14"/>
      <x:c r="H195" s="12" t="str">
        <x:f>IF(B195="","",IF(F195="Cancelled","Cancelled",IF(F195="Complete","Complete",IF(C195="","Add date",IF(C195&lt;$F$5,"Overdue",IF(C195&lt;=$F$5+7,"Due within 7 days","Upcoming"))))))</x:f>
      </x:c>
      <x:c r="I195" s="12" t="str">
        <x:f>IF(OR(B195="",C195="",F195="Cancelled"),"",C195*1000+COUNTIFS($C$11:C195,C195,$B$11:B195,"&lt;&gt;",$F$11:F195,"&lt;&gt;Cancelled"))</x:f>
      </x:c>
      <x:c r="J195" s="3"/>
      <x:c r="K195" s="3"/>
      <x:c r="L195" s="3"/>
    </x:row>
    <x:row r="196" ht="23" customHeight="1">
      <x:c r="A196" s="3"/>
      <x:c r="B196" s="10"/>
      <x:c r="C196" s="13"/>
      <x:c r="D196" s="10"/>
      <x:c r="E196" s="10"/>
      <x:c r="F196" s="10"/>
      <x:c r="G196" s="14"/>
      <x:c r="H196" s="12" t="str">
        <x:f>IF(B196="","",IF(F196="Cancelled","Cancelled",IF(F196="Complete","Complete",IF(C196="","Add date",IF(C196&lt;$F$5,"Overdue",IF(C196&lt;=$F$5+7,"Due within 7 days","Upcoming"))))))</x:f>
      </x:c>
      <x:c r="I196" s="12" t="str">
        <x:f>IF(OR(B196="",C196="",F196="Cancelled"),"",C196*1000+COUNTIFS($C$11:C196,C196,$B$11:B196,"&lt;&gt;",$F$11:F196,"&lt;&gt;Cancelled"))</x:f>
      </x:c>
      <x:c r="J196" s="3"/>
      <x:c r="K196" s="3"/>
      <x:c r="L196" s="3"/>
    </x:row>
    <x:row r="197" ht="23" customHeight="1">
      <x:c r="A197" s="3"/>
      <x:c r="B197" s="10"/>
      <x:c r="C197" s="13"/>
      <x:c r="D197" s="10"/>
      <x:c r="E197" s="10"/>
      <x:c r="F197" s="10"/>
      <x:c r="G197" s="14"/>
      <x:c r="H197" s="12" t="str">
        <x:f>IF(B197="","",IF(F197="Cancelled","Cancelled",IF(F197="Complete","Complete",IF(C197="","Add date",IF(C197&lt;$F$5,"Overdue",IF(C197&lt;=$F$5+7,"Due within 7 days","Upcoming"))))))</x:f>
      </x:c>
      <x:c r="I197" s="12" t="str">
        <x:f>IF(OR(B197="",C197="",F197="Cancelled"),"",C197*1000+COUNTIFS($C$11:C197,C197,$B$11:B197,"&lt;&gt;",$F$11:F197,"&lt;&gt;Cancelled"))</x:f>
      </x:c>
      <x:c r="J197" s="3"/>
      <x:c r="K197" s="3"/>
      <x:c r="L197" s="3"/>
    </x:row>
    <x:row r="198" ht="23" customHeight="1">
      <x:c r="A198" s="3"/>
      <x:c r="B198" s="10"/>
      <x:c r="C198" s="13"/>
      <x:c r="D198" s="10"/>
      <x:c r="E198" s="10"/>
      <x:c r="F198" s="10"/>
      <x:c r="G198" s="14"/>
      <x:c r="H198" s="12" t="str">
        <x:f>IF(B198="","",IF(F198="Cancelled","Cancelled",IF(F198="Complete","Complete",IF(C198="","Add date",IF(C198&lt;$F$5,"Overdue",IF(C198&lt;=$F$5+7,"Due within 7 days","Upcoming"))))))</x:f>
      </x:c>
      <x:c r="I198" s="12" t="str">
        <x:f>IF(OR(B198="",C198="",F198="Cancelled"),"",C198*1000+COUNTIFS($C$11:C198,C198,$B$11:B198,"&lt;&gt;",$F$11:F198,"&lt;&gt;Cancelled"))</x:f>
      </x:c>
      <x:c r="J198" s="3"/>
      <x:c r="K198" s="3"/>
      <x:c r="L198" s="3"/>
    </x:row>
    <x:row r="199" ht="23" customHeight="1">
      <x:c r="A199" s="3"/>
      <x:c r="B199" s="10"/>
      <x:c r="C199" s="13"/>
      <x:c r="D199" s="10"/>
      <x:c r="E199" s="10"/>
      <x:c r="F199" s="10"/>
      <x:c r="G199" s="14"/>
      <x:c r="H199" s="12" t="str">
        <x:f>IF(B199="","",IF(F199="Cancelled","Cancelled",IF(F199="Complete","Complete",IF(C199="","Add date",IF(C199&lt;$F$5,"Overdue",IF(C199&lt;=$F$5+7,"Due within 7 days","Upcoming"))))))</x:f>
      </x:c>
      <x:c r="I199" s="12" t="str">
        <x:f>IF(OR(B199="",C199="",F199="Cancelled"),"",C199*1000+COUNTIFS($C$11:C199,C199,$B$11:B199,"&lt;&gt;",$F$11:F199,"&lt;&gt;Cancelled"))</x:f>
      </x:c>
      <x:c r="J199" s="3"/>
      <x:c r="K199" s="3"/>
      <x:c r="L199" s="3"/>
    </x:row>
    <x:row r="200" ht="23" customHeight="1">
      <x:c r="A200" s="3"/>
      <x:c r="B200" s="10"/>
      <x:c r="C200" s="13"/>
      <x:c r="D200" s="10"/>
      <x:c r="E200" s="10"/>
      <x:c r="F200" s="10"/>
      <x:c r="G200" s="14"/>
      <x:c r="H200" s="12" t="str">
        <x:f>IF(B200="","",IF(F200="Cancelled","Cancelled",IF(F200="Complete","Complete",IF(C200="","Add date",IF(C200&lt;$F$5,"Overdue",IF(C200&lt;=$F$5+7,"Due within 7 days","Upcoming"))))))</x:f>
      </x:c>
      <x:c r="I200" s="12" t="str">
        <x:f>IF(OR(B200="",C200="",F200="Cancelled"),"",C200*1000+COUNTIFS($C$11:C200,C200,$B$11:B200,"&lt;&gt;",$F$11:F200,"&lt;&gt;Cancelled"))</x:f>
      </x:c>
      <x:c r="J200" s="3"/>
      <x:c r="K200" s="3"/>
      <x:c r="L200" s="3"/>
    </x:row>
    <x:row r="201" ht="23" customHeight="1">
      <x:c r="A201" s="3"/>
      <x:c r="B201" s="10"/>
      <x:c r="C201" s="13"/>
      <x:c r="D201" s="10"/>
      <x:c r="E201" s="10"/>
      <x:c r="F201" s="10"/>
      <x:c r="G201" s="14"/>
      <x:c r="H201" s="12" t="str">
        <x:f>IF(B201="","",IF(F201="Cancelled","Cancelled",IF(F201="Complete","Complete",IF(C201="","Add date",IF(C201&lt;$F$5,"Overdue",IF(C201&lt;=$F$5+7,"Due within 7 days","Upcoming"))))))</x:f>
      </x:c>
      <x:c r="I201" s="12" t="str">
        <x:f>IF(OR(B201="",C201="",F201="Cancelled"),"",C201*1000+COUNTIFS($C$11:C201,C201,$B$11:B201,"&lt;&gt;",$F$11:F201,"&lt;&gt;Cancelled"))</x:f>
      </x:c>
      <x:c r="J201" s="3"/>
      <x:c r="K201" s="3"/>
      <x:c r="L201" s="3"/>
    </x:row>
    <x:row r="202" ht="23" customHeight="1">
      <x:c r="A202" s="3"/>
      <x:c r="B202" s="10"/>
      <x:c r="C202" s="13"/>
      <x:c r="D202" s="10"/>
      <x:c r="E202" s="10"/>
      <x:c r="F202" s="10"/>
      <x:c r="G202" s="14"/>
      <x:c r="H202" s="12" t="str">
        <x:f>IF(B202="","",IF(F202="Cancelled","Cancelled",IF(F202="Complete","Complete",IF(C202="","Add date",IF(C202&lt;$F$5,"Overdue",IF(C202&lt;=$F$5+7,"Due within 7 days","Upcoming"))))))</x:f>
      </x:c>
      <x:c r="I202" s="12" t="str">
        <x:f>IF(OR(B202="",C202="",F202="Cancelled"),"",C202*1000+COUNTIFS($C$11:C202,C202,$B$11:B202,"&lt;&gt;",$F$11:F202,"&lt;&gt;Cancelled"))</x:f>
      </x:c>
      <x:c r="J202" s="3"/>
      <x:c r="K202" s="3"/>
      <x:c r="L202" s="3"/>
    </x:row>
    <x:row r="203" ht="23" customHeight="1">
      <x:c r="A203" s="3"/>
      <x:c r="B203" s="10"/>
      <x:c r="C203" s="13"/>
      <x:c r="D203" s="10"/>
      <x:c r="E203" s="10"/>
      <x:c r="F203" s="10"/>
      <x:c r="G203" s="14"/>
      <x:c r="H203" s="12" t="str">
        <x:f>IF(B203="","",IF(F203="Cancelled","Cancelled",IF(F203="Complete","Complete",IF(C203="","Add date",IF(C203&lt;$F$5,"Overdue",IF(C203&lt;=$F$5+7,"Due within 7 days","Upcoming"))))))</x:f>
      </x:c>
      <x:c r="I203" s="12" t="str">
        <x:f>IF(OR(B203="",C203="",F203="Cancelled"),"",C203*1000+COUNTIFS($C$11:C203,C203,$B$11:B203,"&lt;&gt;",$F$11:F203,"&lt;&gt;Cancelled"))</x:f>
      </x:c>
      <x:c r="J203" s="3"/>
      <x:c r="K203" s="3"/>
      <x:c r="L203" s="3"/>
    </x:row>
    <x:row r="204" ht="23" customHeight="1">
      <x:c r="A204" s="3"/>
      <x:c r="B204" s="10"/>
      <x:c r="C204" s="13"/>
      <x:c r="D204" s="10"/>
      <x:c r="E204" s="10"/>
      <x:c r="F204" s="10"/>
      <x:c r="G204" s="14"/>
      <x:c r="H204" s="12" t="str">
        <x:f>IF(B204="","",IF(F204="Cancelled","Cancelled",IF(F204="Complete","Complete",IF(C204="","Add date",IF(C204&lt;$F$5,"Overdue",IF(C204&lt;=$F$5+7,"Due within 7 days","Upcoming"))))))</x:f>
      </x:c>
      <x:c r="I204" s="12" t="str">
        <x:f>IF(OR(B204="",C204="",F204="Cancelled"),"",C204*1000+COUNTIFS($C$11:C204,C204,$B$11:B204,"&lt;&gt;",$F$11:F204,"&lt;&gt;Cancelled"))</x:f>
      </x:c>
      <x:c r="J204" s="3"/>
      <x:c r="K204" s="3"/>
      <x:c r="L204" s="3"/>
    </x:row>
    <x:row r="205" ht="23" customHeight="1">
      <x:c r="A205" s="3"/>
      <x:c r="B205" s="10"/>
      <x:c r="C205" s="13"/>
      <x:c r="D205" s="10"/>
      <x:c r="E205" s="10"/>
      <x:c r="F205" s="10"/>
      <x:c r="G205" s="14"/>
      <x:c r="H205" s="12" t="str">
        <x:f>IF(B205="","",IF(F205="Cancelled","Cancelled",IF(F205="Complete","Complete",IF(C205="","Add date",IF(C205&lt;$F$5,"Overdue",IF(C205&lt;=$F$5+7,"Due within 7 days","Upcoming"))))))</x:f>
      </x:c>
      <x:c r="I205" s="12" t="str">
        <x:f>IF(OR(B205="",C205="",F205="Cancelled"),"",C205*1000+COUNTIFS($C$11:C205,C205,$B$11:B205,"&lt;&gt;",$F$11:F205,"&lt;&gt;Cancelled"))</x:f>
      </x:c>
      <x:c r="J205" s="3"/>
      <x:c r="K205" s="3"/>
      <x:c r="L205" s="3"/>
    </x:row>
    <x:row r="206" ht="23" customHeight="1">
      <x:c r="A206" s="3"/>
      <x:c r="B206" s="10"/>
      <x:c r="C206" s="13"/>
      <x:c r="D206" s="10"/>
      <x:c r="E206" s="10"/>
      <x:c r="F206" s="10"/>
      <x:c r="G206" s="14"/>
      <x:c r="H206" s="12" t="str">
        <x:f>IF(B206="","",IF(F206="Cancelled","Cancelled",IF(F206="Complete","Complete",IF(C206="","Add date",IF(C206&lt;$F$5,"Overdue",IF(C206&lt;=$F$5+7,"Due within 7 days","Upcoming"))))))</x:f>
      </x:c>
      <x:c r="I206" s="12" t="str">
        <x:f>IF(OR(B206="",C206="",F206="Cancelled"),"",C206*1000+COUNTIFS($C$11:C206,C206,$B$11:B206,"&lt;&gt;",$F$11:F206,"&lt;&gt;Cancelled"))</x:f>
      </x:c>
      <x:c r="J206" s="3"/>
      <x:c r="K206" s="3"/>
      <x:c r="L206" s="3"/>
    </x:row>
    <x:row r="207" ht="23" customHeight="1">
      <x:c r="A207" s="3"/>
      <x:c r="B207" s="10"/>
      <x:c r="C207" s="13"/>
      <x:c r="D207" s="10"/>
      <x:c r="E207" s="10"/>
      <x:c r="F207" s="10"/>
      <x:c r="G207" s="14"/>
      <x:c r="H207" s="12" t="str">
        <x:f>IF(B207="","",IF(F207="Cancelled","Cancelled",IF(F207="Complete","Complete",IF(C207="","Add date",IF(C207&lt;$F$5,"Overdue",IF(C207&lt;=$F$5+7,"Due within 7 days","Upcoming"))))))</x:f>
      </x:c>
      <x:c r="I207" s="12" t="str">
        <x:f>IF(OR(B207="",C207="",F207="Cancelled"),"",C207*1000+COUNTIFS($C$11:C207,C207,$B$11:B207,"&lt;&gt;",$F$11:F207,"&lt;&gt;Cancelled"))</x:f>
      </x:c>
      <x:c r="J207" s="3"/>
      <x:c r="K207" s="3"/>
      <x:c r="L207" s="3"/>
    </x:row>
    <x:row r="208" ht="23" customHeight="1">
      <x:c r="A208" s="3"/>
      <x:c r="B208" s="10"/>
      <x:c r="C208" s="13"/>
      <x:c r="D208" s="10"/>
      <x:c r="E208" s="10"/>
      <x:c r="F208" s="10"/>
      <x:c r="G208" s="14"/>
      <x:c r="H208" s="12" t="str">
        <x:f>IF(B208="","",IF(F208="Cancelled","Cancelled",IF(F208="Complete","Complete",IF(C208="","Add date",IF(C208&lt;$F$5,"Overdue",IF(C208&lt;=$F$5+7,"Due within 7 days","Upcoming"))))))</x:f>
      </x:c>
      <x:c r="I208" s="12" t="str">
        <x:f>IF(OR(B208="",C208="",F208="Cancelled"),"",C208*1000+COUNTIFS($C$11:C208,C208,$B$11:B208,"&lt;&gt;",$F$11:F208,"&lt;&gt;Cancelled"))</x:f>
      </x:c>
      <x:c r="J208" s="3"/>
      <x:c r="K208" s="3"/>
      <x:c r="L208" s="3"/>
    </x:row>
    <x:row r="209" ht="23" customHeight="1">
      <x:c r="A209" s="3"/>
      <x:c r="B209" s="10"/>
      <x:c r="C209" s="13"/>
      <x:c r="D209" s="10"/>
      <x:c r="E209" s="10"/>
      <x:c r="F209" s="10"/>
      <x:c r="G209" s="14"/>
      <x:c r="H209" s="12" t="str">
        <x:f>IF(B209="","",IF(F209="Cancelled","Cancelled",IF(F209="Complete","Complete",IF(C209="","Add date",IF(C209&lt;$F$5,"Overdue",IF(C209&lt;=$F$5+7,"Due within 7 days","Upcoming"))))))</x:f>
      </x:c>
      <x:c r="I209" s="12" t="str">
        <x:f>IF(OR(B209="",C209="",F209="Cancelled"),"",C209*1000+COUNTIFS($C$11:C209,C209,$B$11:B209,"&lt;&gt;",$F$11:F209,"&lt;&gt;Cancelled"))</x:f>
      </x:c>
      <x:c r="J209" s="3"/>
      <x:c r="K209" s="3"/>
      <x:c r="L209" s="3"/>
    </x:row>
    <x:row r="210" ht="23" customHeight="1">
      <x:c r="A210" s="3"/>
      <x:c r="B210" s="10"/>
      <x:c r="C210" s="13"/>
      <x:c r="D210" s="10"/>
      <x:c r="E210" s="10"/>
      <x:c r="F210" s="10"/>
      <x:c r="G210" s="14"/>
      <x:c r="H210" s="12" t="str">
        <x:f>IF(B210="","",IF(F210="Cancelled","Cancelled",IF(F210="Complete","Complete",IF(C210="","Add date",IF(C210&lt;$F$5,"Overdue",IF(C210&lt;=$F$5+7,"Due within 7 days","Upcoming"))))))</x:f>
      </x:c>
      <x:c r="I210" s="12" t="str">
        <x:f>IF(OR(B210="",C210="",F210="Cancelled"),"",C210*1000+COUNTIFS($C$11:C210,C210,$B$11:B210,"&lt;&gt;",$F$11:F210,"&lt;&gt;Cancelled"))</x:f>
      </x:c>
      <x:c r="J210" s="3"/>
      <x:c r="K210" s="3"/>
      <x:c r="L210" s="3"/>
    </x:row>
    <x:row r="211" ht="23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</x:row>
  </x:sheetData>
  <x:mergeCells>
    <x:mergeCell ref="B2:I2"/>
    <x:mergeCell ref="B3:I3"/>
    <x:mergeCell ref="C5:D5"/>
    <x:mergeCell ref="B8:I8"/>
  </x:mergeCells>
  <x:conditionalFormatting sqref="H11:H210">
    <x:cfRule type="containsText" dxfId="0" priority="1" operator="containsText" text="Overdue"/>
    <x:cfRule type="containsText" dxfId="1" priority="2" operator="containsText" text="Complete"/>
    <x:cfRule type="containsText" dxfId="2" priority="3" operator="containsText" text="Due within 7 days"/>
    <x:cfRule type="containsText" dxfId="3" priority="4" operator="containsText" text="Add date"/>
  </x:conditionalFormatting>
  <x:dataValidations count="4">
    <x:dataValidation type="list" sqref="F11:F210">
      <x:formula1>"Planned,In progress,At risk,Complete,Cancelled"</x:formula1>
    </x:dataValidation>
    <x:dataValidation type="list" sqref="D11:D210">
      <x:formula1>Milestones!$L$11:$L$30</x:formula1>
    </x:dataValidation>
    <x:dataValidation type="whole" operator="between" sqref="C6">
      <x:formula1>2000</x:formula1>
      <x:formula2>2100</x:formula2>
    </x:dataValidation>
    <x:dataValidation type="whole" operator="between" sqref="F6">
      <x:formula1>1</x:formula1>
      <x:formula2>12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d9cc99cccbd4459"/>
  </x:tableParts>
</x:worksheet>
</file>

<file path=xl/worksheets/sheet4.xml><?xml version="1.0" encoding="utf-8"?>
<ns0:worksheet xmlns:ns0="http://schemas.openxmlformats.org/spreadsheetml/2006/main">
  <ns0:sheetPr>
    <ns0:tabColor rgb="FFC28ED9"/>
  </ns0:sheetPr>
  <ns0:sheetViews>
    <ns0:sheetView showGridLines="0" workbookViewId="0"/>
  </ns0:sheetViews>
  <ns0:sheetFormatPr defaultRowHeight="15"/>
  <ns0:cols>
    <ns0:col min="1" max="1" width="3" hidden="0" customWidth="1"/>
    <ns0:col min="2" max="2" width="35" hidden="0" customWidth="1"/>
    <ns0:col min="3" max="3" width="72" hidden="0" customWidth="1"/>
    <ns0:col min="4" max="4" width="22" hidden="0" customWidth="1"/>
    <ns0:col min="5" max="5" width="3" hidden="0" customWidth="1"/>
  </ns0:cols>
  <ns0:sheetData>
    <ns0:row r="1" ht="24" customHeight="1">
      <ns0:c r="A1" s="37"/>
      <ns0:c r="B1" s="37"/>
      <ns0:c r="C1" s="37"/>
      <ns0:c r="D1" s="37"/>
      <ns0:c r="E1" s="37"/>
    </ns0:row>
    <ns0:row r="2" ht="40" customHeight="1">
      <ns0:c r="A2" s="37"/>
      <ns0:c r="B2" s="39" t="str">
        <ns0:v>PROJECT RESOURCES</ns0:v>
      </ns0:c>
      <ns0:c r="C2" s="39"/>
      <ns0:c r="D2" s="39"/>
      <ns0:c r="E2" s="37"/>
    </ns0:row>
    <ns0:row r="3" ht="24" customHeight="1">
      <ns0:c r="A3" s="37"/>
      <ns0:c r="B3" s="37"/>
      <ns0:c r="C3" s="37"/>
      <ns0:c r="D3" s="37"/>
      <ns0:c r="E3" s="37"/>
    </ns0:row>
    <ns0:row r="4" ht="24" customHeight="1">
      <ns0:c r="A4" s="37"/>
      <ns0:c r="B4" s="37" t="str">
        <ns0:v>Practical guides and templates from stakeholdermap.com</ns0:v>
      </ns0:c>
      <ns0:c r="C4" s="37"/>
      <ns0:c r="D4" s="37"/>
      <ns0:c r="E4" s="37"/>
    </ns0:row>
    <ns0:row r="5" ht="24" customHeight="1">
      <ns0:c r="A5" s="37"/>
      <ns0:c r="B5" s="37" t="str">
        <ns0:v>Click a resource title to open its web page, where you can read more and find downloads.</ns0:v>
      </ns0:c>
      <ns0:c r="C5" s="37"/>
      <ns0:c r="D5" s="37"/>
      <ns0:c r="E5" s="37"/>
    </ns0:row>
    <ns0:row r="6" ht="24" customHeight="1">
      <ns0:c r="A6" s="37"/>
      <ns0:c r="B6" s="37"/>
      <ns0:c r="C6" s="37"/>
      <ns0:c r="D6" s="37"/>
      <ns0:c r="E6" s="37"/>
    </ns0:row>
    <ns0:row r="7" ht="28" customHeight="1">
      <ns0:c r="A7" s="37"/>
      <ns0:c r="B7" s="40" t="str">
        <ns0:v>RESOURCE</ns0:v>
      </ns0:c>
      <ns0:c r="C7" s="40" t="str">
        <ns0:v>HOW IT HELPS</ns0:v>
      </ns0:c>
      <ns0:c r="D7" s="40" t="str">
        <ns0:v>WEBSITE</ns0:v>
      </ns0:c>
      <ns0:c r="E7" s="37"/>
    </ns0:row>
    <ns0:row r="8" ht="42" customHeight="1">
      <ns0:c r="A8" s="37"/>
      <ns0:c r="B8" s="43" t="str">
        <ns0:f>HYPERLINK("https://www.stakeholdermap.com/project-templates/milestone-list-template.php","Milestone list template")</ns0:f>
        <ns0:v>Milestone list template</ns0:v>
      </ns0:c>
      <ns0:c r="C8" s="42" t="str">
        <ns0:v>Describe key checkpoints, their dates and whether they are mandatory.</ns0:v>
      </ns0:c>
      <ns0:c r="D8" s="42" t="str">
        <ns0:v>stakeholdermap.com</ns0:v>
      </ns0:c>
      <ns0:c r="E8" s="37"/>
    </ns0:row>
    <ns0:row r="9" ht="24" customHeight="1">
      <ns0:c r="A9" s="37"/>
      <ns0:c r="B9" s="37"/>
      <ns0:c r="C9" s="37"/>
      <ns0:c r="D9" s="37"/>
      <ns0:c r="E9" s="37"/>
    </ns0:row>
    <ns0:row r="10" ht="42" customHeight="1">
      <ns0:c r="A10" s="37"/>
      <ns0:c r="B10" s="43" t="str">
        <ns0:f>HYPERLINK("https://www.stakeholdermap.com/project-templates/project-management-templates.php","Project management templates")</ns0:f>
        <ns0:v>Project management templates</ns0:v>
      </ns0:c>
      <ns0:c r="C10" s="42" t="str">
        <ns0:v>Browse the full collection of Excel, Word and PDF templates.</ns0:v>
      </ns0:c>
      <ns0:c r="D10" s="42" t="str">
        <ns0:v>stakeholdermap.com</ns0:v>
      </ns0:c>
      <ns0:c r="E10" s="37"/>
    </ns0:row>
    <ns0:row r="11" ht="24" customHeight="1">
      <ns0:c r="A11" s="37"/>
      <ns0:c r="B11" s="37"/>
      <ns0:c r="C11" s="37"/>
      <ns0:c r="D11" s="37"/>
      <ns0:c r="E11" s="37"/>
    </ns0:row>
    <ns0:row r="12" ht="42" customHeight="1">
      <ns0:c r="A12" s="37"/>
      <ns0:c r="B12" s="43" t="str">
        <ns0:f>HYPERLINK("https://www.stakeholdermap.com/project-templates/activity-list-template.php","Activity list template")</ns0:f>
        <ns0:v>Activity list template</ns0:v>
      </ns0:c>
      <ns0:c r="C12" s="42" t="str">
        <ns0:v>List the activities needed to deliver your project milestones.</ns0:v>
      </ns0:c>
      <ns0:c r="D12" s="42" t="str">
        <ns0:v>stakeholdermap.com</ns0:v>
      </ns0:c>
      <ns0:c r="E12" s="37"/>
    </ns0:row>
    <ns0:row r="13" ht="24" customHeight="1">
      <ns0:c r="A13" s="37"/>
      <ns0:c r="B13" s="37"/>
      <ns0:c r="C13" s="37"/>
      <ns0:c r="D13" s="37"/>
      <ns0:c r="E13" s="37"/>
    </ns0:row>
    <ns0:row r="14" ht="42" customHeight="1">
      <ns0:c r="A14" s="37"/>
      <ns0:c r="B14" s="43" t="str">
        <ns0:f>HYPERLINK("https://www.stakeholdermap.com/project-templates/activity-attributes-template.php","Activity attributes template")</ns0:f>
        <ns0:v>Activity attributes template</ns0:v>
      </ns0:c>
      <ns0:c r="C14" s="42" t="str">
        <ns0:v>Add scheduling details, resource needs and dependencies to activities.</ns0:v>
      </ns0:c>
      <ns0:c r="D14" s="42" t="str">
        <ns0:v>stakeholdermap.com</ns0:v>
      </ns0:c>
      <ns0:c r="E14" s="37"/>
    </ns0:row>
    <ns0:row r="15" ht="24" customHeight="1">
      <ns0:c r="A15" s="37"/>
      <ns0:c r="B15" s="37"/>
      <ns0:c r="C15" s="37"/>
      <ns0:c r="D15" s="37"/>
      <ns0:c r="E15" s="37"/>
    </ns0:row>
    <ns0:row r="16" ht="42" customHeight="1">
      <ns0:c r="A16" s="37"/>
      <ns0:c r="B16" s="43" t="str">
        <ns0:f>HYPERLINK("https://www.stakeholdermap.com/project-templates/wbs-dictionary.php","WBS dictionary template")</ns0:f>
        <ns0:v>WBS dictionary template</ns0:v>
      </ns0:c>
      <ns0:c r="C16" s="42" t="str">
        <ns0:v>Define deliverables, owners, milestones and acceptance criteria.</ns0:v>
      </ns0:c>
      <ns0:c r="D16" s="42" t="str">
        <ns0:v>stakeholdermap.com</ns0:v>
      </ns0:c>
      <ns0:c r="E16" s="37"/>
    </ns0:row>
    <ns0:row r="17" ht="24" customHeight="1">
      <ns0:c r="A17" s="37"/>
      <ns0:c r="B17" s="37"/>
      <ns0:c r="C17" s="37"/>
      <ns0:c r="D17" s="37"/>
      <ns0:c r="E17" s="37"/>
    </ns0:row>
    <ns0:row r="18" ht="42" customHeight="1">
      <ns0:c r="A18" s="37"/>
      <ns0:c r="B18" s="43" t="str">
        <ns0:f>HYPERLINK("https://www.stakeholdermap.com/project-templates/project-status-report-excel.php","Project status report")</ns0:f>
        <ns0:v>Project status report</ns0:v>
      </ns0:c>
      <ns0:c r="C18" s="42" t="str">
        <ns0:v>Report milestone progress alongside the wider project status.</ns0:v>
      </ns0:c>
      <ns0:c r="D18" s="42" t="str">
        <ns0:v>stakeholdermap.com</ns0:v>
      </ns0:c>
      <ns0:c r="E18" s="37"/>
    </ns0:row>
    <ns0:row r="19" ht="24" customHeight="1">
      <ns0:c r="A19" s="37"/>
      <ns0:c r="B19" s="37"/>
      <ns0:c r="C19" s="37"/>
      <ns0:c r="D19" s="37"/>
      <ns0:c r="E19" s="37"/>
    </ns0:row>
    <ns0:row r="20" ht="42" customHeight="1">
      <ns0:c r="A20" s="37"/>
      <ns0:c r="B20" s="43" t="str">
        <ns0:f>HYPERLINK("https://www.stakeholdermap.com/project-templates/project-charter-template.php","Project charter template")</ns0:f>
        <ns0:v>Project charter template</ns0:v>
      </ns0:c>
      <ns0:c r="C20" s="42" t="str">
        <ns0:v>Agree the project objectives and initial milestone schedule.</ns0:v>
      </ns0:c>
      <ns0:c r="D20" s="42" t="str">
        <ns0:v>stakeholdermap.com</ns0:v>
      </ns0:c>
      <ns0:c r="E20" s="37"/>
    </ns0:row>
    <ns0:row r="21" ht="24" customHeight="1">
      <ns0:c r="A21" s="37"/>
      <ns0:c r="B21" s="37"/>
      <ns0:c r="C21" s="37"/>
      <ns0:c r="D21" s="37"/>
      <ns0:c r="E21" s="37"/>
    </ns0:row>
    <ns0:row r="22" ht="42" customHeight="1">
      <ns0:c r="A22" s="37"/>
      <ns0:c r="B22" s="43" t="str">
        <ns0:f>HYPERLINK("https://www.stakeholdermap.com/project-templates/project-initiation-document-template.php","Project initiation document")</ns0:f>
        <ns0:v>Project initiation document</ns0:v>
      </ns0:c>
      <ns0:c r="C22" s="42" t="str">
        <ns0:v>Bring scope, milestones, dependencies and project controls together.</ns0:v>
      </ns0:c>
      <ns0:c r="D22" s="42" t="str">
        <ns0:v>stakeholdermap.com</ns0:v>
      </ns0:c>
      <ns0:c r="E22" s="37"/>
    </ns0:row>
    <ns0:row r="23" ht="24" customHeight="1">
      <ns0:c r="A23" s="37"/>
      <ns0:c r="B23" s="37"/>
      <ns0:c r="C23" s="37"/>
      <ns0:c r="D23" s="37"/>
      <ns0:c r="E23" s="37"/>
    </ns0:row>
    <ns0:row r="24" ht="24" customHeight="1">
      <ns0:c r="A24" s="37"/>
      <ns0:c r="B24" s="37"/>
      <ns0:c r="C24" s="37"/>
      <ns0:c r="D24" s="37"/>
      <ns0:c r="E24" s="37"/>
    </ns0:row>
    <ns0:row r="25" ht="24" customHeight="1">
      <ns0:c r="A25" s="37"/>
      <ns0:c r="B25" s="44" t="str">
        <ns0:f>HYPERLINK("https://www.stakeholdermap.com/","Visit stakeholdermap.com")</ns0:f>
        <ns0:v>Visit stakeholdermap.com</ns0:v>
      </ns0:c>
      <ns0:c r="C25" s="37"/>
      <ns0:c r="D25" s="37"/>
      <ns0:c r="E25" s="37"/>
    </ns0:row>
    <ns0:row r="26" ht="24" customHeight="1">
      <ns0:c r="A26" s="37"/>
      <ns0:c r="B26" s="37"/>
      <ns0:c r="C26" s="37"/>
      <ns0:c r="D26" s="37"/>
      <ns0:c r="E26" s="37"/>
    </ns0:row>
  </ns0:sheetData>
  <ns0:mergeCells>
    <ns0:mergeCell ref="B2:D2"/>
    <ns0:mergeCell ref="B4:D4"/>
    <ns0:mergeCell ref="B5:D5"/>
    <ns0:mergeCell ref="B25:D25"/>
  </ns0:mergeCells>
  <ns0:pageMargins left="0.7" right="0.7" top="0.75" bottom="0.75" header="0.3" footer="0.3"/>
</ns0:worksheet>
</file>