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a37ae50aa40e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illable summary" sheetId="1" ns1:id="R50ddd7a336324165"/>
    <sheet name="MBO summary" sheetId="2" ns1:id="R48013e13691344da"/>
    <sheet name="Jan" sheetId="3" ns1:id="R642d3600fbc14a17"/>
    <sheet name="Feb" sheetId="4" ns1:id="Ra3414f7840464504"/>
    <sheet name="Mar" sheetId="5" ns1:id="R0bd650a356774b91"/>
    <sheet name="Apr" sheetId="6" ns1:id="Ra90230caa13c4210"/>
    <sheet name="May" sheetId="7" ns1:id="R6faaa1a149c749b9"/>
    <sheet name="Jun" sheetId="8" ns1:id="Rd2a42fcd949f4c36"/>
    <sheet name="Jul" sheetId="9" ns1:id="R3e3d7f48017843bf"/>
    <sheet name="Aug" sheetId="10" ns1:id="Rcb7f76a22e93414d"/>
    <sheet name="Sep" sheetId="11" ns1:id="Raf99eb12aaa04eef"/>
    <sheet name="Oct" sheetId="12" ns1:id="R79b66159b29041f9"/>
    <sheet name="Nov" sheetId="13" ns1:id="R4eb22c0e062d4f8b"/>
    <sheet name="Dec" sheetId="14" ns1:id="R1f6986eab6ce4792"/>
    <sheet name="Resources" sheetId="15" ns1:id="Rb5a72baf7680441e"/>
  </sheet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%"/>
    <numFmt numFmtId="201" formatCode="0.0"/>
    <numFmt numFmtId="202" formatCode="0.0%"/>
    <numFmt numFmtId="203" formatCode="ddd"/>
    <numFmt numFmtId="204" formatCode="d"/>
    <numFmt numFmtId="205" formatCode="0.0;[Red](0.0);–"/>
  </numFmts>
  <fonts count="8">
    <font>
      <sz val="11"/>
      <name val="Carlito"/>
    </font>
    <font>
      <sz val="10"/>
      <color rgb="FFF3F5FA"/>
      <name val="Arial"/>
    </font>
    <font>
      <b/>
      <sz val="16"/>
      <color rgb="FF92D7C4"/>
      <name val="Arial"/>
    </font>
    <font>
      <b/>
      <sz val="10"/>
      <color rgb="FFFFFFFF"/>
      <name val="Arial"/>
    </font>
    <font>
      <b/>
      <sz val="10"/>
      <color rgb="FFF3F5FA"/>
      <name val="Arial"/>
    </font>
    <font>
      <sz val="10"/>
      <color rgb="FFBEC8D8"/>
      <name val="Arial"/>
    </font>
    <font>
      <sz val="9"/>
      <color rgb="FFF3F5FA"/>
      <name val="Arial"/>
    </font>
    <font>
      <b/>
      <sz val="10"/>
      <color rgb="FF92D7C4"/>
      <name val="Arial"/>
    </font>
  </fonts>
  <fills count="8">
    <fill>
      <patternFill patternType="none"/>
    </fill>
    <fill>
      <patternFill patternType="gray125"/>
    </fill>
    <fill>
      <patternFill patternType="solid">
        <fgColor rgb="FF20253F"/>
      </patternFill>
    </fill>
    <fill>
      <patternFill patternType="solid">
        <fgColor rgb="FF484331"/>
      </patternFill>
    </fill>
    <fill>
      <patternFill patternType="solid">
        <fgColor rgb="FF006053"/>
      </patternFill>
    </fill>
    <fill>
      <patternFill patternType="solid">
        <fgColor rgb="FF303750"/>
      </patternFill>
    </fill>
    <fill>
      <patternFill patternType="solid">
        <fgColor rgb="FF285647"/>
      </patternFill>
    </fill>
    <fill>
      <patternFill patternType="solid">
        <fgColor rgb="FF20263F"/>
      </patternFill>
    </fill>
  </fills>
  <borders count="42">
    <border>
      <left/>
      <right/>
      <top/>
      <bottom/>
      <diagonal/>
    </border>
    <border>
      <left/>
      <right/>
      <top/>
      <bottom style="hair">
        <color rgb="FF4D5670"/>
      </bottom>
      <diagonal/>
    </border>
    <border>
      <left/>
      <right/>
      <top style="hair">
        <color rgb="FF4D5670"/>
      </top>
      <bottom style="hair">
        <color rgb="FF4D5670"/>
      </bottom>
      <diagonal/>
    </border>
    <border>
      <left/>
      <right/>
      <top style="hair">
        <color rgb="FF4D5670"/>
      </top>
      <bottom/>
      <diagonal/>
    </border>
    <border>
      <left style="thin">
        <color rgb="FF626C84"/>
      </left>
      <right style="thin">
        <color rgb="FF626C84"/>
      </right>
      <top style="thin">
        <color rgb="FF626C84"/>
      </top>
      <bottom style="thin">
        <color rgb="FF626C84"/>
      </bottom>
      <diagonal/>
    </border>
    <border>
      <left style="thin">
        <color rgb="FF626C84"/>
      </left>
      <right style="thin">
        <color rgb="FF81AAA3"/>
      </right>
      <top style="thin">
        <color rgb="FF626C84"/>
      </top>
      <bottom style="thin">
        <color rgb="FF8CA0B5"/>
      </bottom>
      <diagonal/>
    </border>
    <border>
      <left style="thin">
        <color rgb="FF81AAA3"/>
      </left>
      <right style="thin">
        <color rgb="FF81AAA3"/>
      </right>
      <top style="thin">
        <color rgb="FF626C84"/>
      </top>
      <bottom style="thin">
        <color rgb="FF8CA0B5"/>
      </bottom>
      <diagonal/>
    </border>
    <border>
      <left style="thin">
        <color rgb="FF81AAA3"/>
      </left>
      <right style="thin">
        <color rgb="FF626C84"/>
      </right>
      <top style="thin">
        <color rgb="FF626C84"/>
      </top>
      <bottom style="thin">
        <color rgb="FF8CA0B5"/>
      </bottom>
      <diagonal/>
    </border>
    <border>
      <left style="thin">
        <color rgb="FF626C84"/>
      </left>
      <right style="thin">
        <color rgb="FF626C84"/>
      </right>
      <top style="thin">
        <color rgb="FF8CA0B5"/>
      </top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/>
      <diagonal/>
    </border>
    <border>
      <left/>
      <right/>
      <top style="thin">
        <color rgb="FF8CA0B5"/>
      </top>
      <bottom/>
      <diagonal/>
    </border>
    <border>
      <left/>
      <right style="thin">
        <color rgb="FF8CA0B5"/>
      </right>
      <top style="thin">
        <color rgb="FF8CA0B5"/>
      </top>
      <bottom/>
      <diagonal/>
    </border>
    <border>
      <left style="thin">
        <color rgb="FF8CA0B5"/>
      </left>
      <right/>
      <top/>
      <bottom/>
      <diagonal/>
    </border>
    <border>
      <left/>
      <right style="thin">
        <color rgb="FF8CA0B5"/>
      </right>
      <top/>
      <bottom/>
      <diagonal/>
    </border>
    <border>
      <left style="thin">
        <color rgb="FF8CA0B5"/>
      </left>
      <right/>
      <top/>
      <bottom style="thin">
        <color rgb="FF8CA0B5"/>
      </bottom>
      <diagonal/>
    </border>
    <border>
      <left/>
      <right/>
      <top/>
      <bottom style="thin">
        <color rgb="FF8CA0B5"/>
      </bottom>
      <diagonal/>
    </border>
    <border>
      <left/>
      <right style="thin">
        <color rgb="FF8CA0B5"/>
      </right>
      <top/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 style="thin">
        <color rgb="FF81AAA3"/>
      </bottom>
      <diagonal/>
    </border>
    <border>
      <left/>
      <right/>
      <top style="thin">
        <color rgb="FF8CA0B5"/>
      </top>
      <bottom style="thin">
        <color rgb="FF81AAA3"/>
      </bottom>
      <diagonal/>
    </border>
    <border>
      <left/>
      <right style="thin">
        <color rgb="FF8CA0B5"/>
      </right>
      <top style="thin">
        <color rgb="FF8CA0B5"/>
      </top>
      <bottom style="thin">
        <color rgb="FF81AAA3"/>
      </bottom>
      <diagonal/>
    </border>
    <border>
      <left style="thin">
        <color rgb="FF8CA0B5"/>
      </left>
      <right/>
      <top/>
      <bottom style="thin">
        <color rgb="FF626C84"/>
      </bottom>
      <diagonal/>
    </border>
    <border>
      <left/>
      <right/>
      <top/>
      <bottom style="thin">
        <color rgb="FF626C84"/>
      </bottom>
      <diagonal/>
    </border>
    <border>
      <left/>
      <right style="thin">
        <color rgb="FF8CA0B5"/>
      </right>
      <top/>
      <bottom style="thin">
        <color rgb="FF626C84"/>
      </bottom>
      <diagonal/>
    </border>
    <border>
      <left style="thin">
        <color rgb="FF8CA0B5"/>
      </left>
      <right style="thin">
        <color rgb="FF8CA0B5"/>
      </right>
      <top style="thin">
        <color rgb="FF8CA0B5"/>
      </top>
      <bottom/>
      <diagonal/>
    </border>
    <border>
      <left style="thin">
        <color rgb="FF8CA0B5"/>
      </left>
      <right style="thin">
        <color rgb="FF8CA0B5"/>
      </right>
      <top/>
      <bottom/>
      <diagonal/>
    </border>
    <border>
      <left style="thin">
        <color rgb="FF8CA0B5"/>
      </left>
      <right style="thin">
        <color rgb="FF8CA0B5"/>
      </right>
      <top/>
      <bottom style="thin">
        <color rgb="FF8CA0B5"/>
      </bottom>
      <diagonal/>
    </border>
    <border>
      <left style="thin">
        <color rgb="FF8CA0B5"/>
      </left>
      <right style="thin">
        <color rgb="FF8CA0B5"/>
      </right>
      <top style="thin">
        <color rgb="FF8CA0B5"/>
      </top>
      <bottom style="thin">
        <color rgb="FF81AAA3"/>
      </bottom>
      <diagonal/>
    </border>
    <border>
      <left style="thin">
        <color rgb="FF8CA0B5"/>
      </left>
      <right style="thin">
        <color rgb="FF8CA0B5"/>
      </right>
      <top/>
      <bottom style="thin">
        <color rgb="FF626C84"/>
      </bottom>
      <diagonal/>
    </border>
    <border>
      <left/>
      <right/>
      <top style="thin">
        <color rgb="FF626C84"/>
      </top>
      <bottom style="thin">
        <color rgb="FF626C84"/>
      </bottom>
      <diagonal/>
    </border>
    <border>
      <left/>
      <right/>
      <top style="thin">
        <color rgb="FF626C84"/>
      </top>
      <bottom/>
      <diagonal/>
    </border>
    <border>
      <left style="thin">
        <color rgb="FF8CA0B5"/>
      </left>
      <right style="thin">
        <color rgb="FF8CA0B5"/>
      </right>
      <top style="thin">
        <color rgb="FF8CA0B5"/>
      </top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 style="thin">
        <color rgb="FF8CA0B5"/>
      </bottom>
      <diagonal/>
    </border>
    <border>
      <left/>
      <right/>
      <top style="thin">
        <color rgb="FF8CA0B5"/>
      </top>
      <bottom style="thin">
        <color rgb="FF8CA0B5"/>
      </bottom>
      <diagonal/>
    </border>
    <border>
      <left/>
      <right style="thin">
        <color rgb="FF8CA0B5"/>
      </right>
      <top style="thin">
        <color rgb="FF8CA0B5"/>
      </top>
      <bottom style="thin">
        <color rgb="FF8CA0B5"/>
      </bottom>
      <diagonal/>
    </border>
    <border>
      <left style="thin">
        <color rgb="FF626C84"/>
      </left>
      <right style="thin">
        <color rgb="FF8CA0B5"/>
      </right>
      <top style="thin">
        <color rgb="FF626C84"/>
      </top>
      <bottom style="thin">
        <color rgb="FF626C84"/>
      </bottom>
      <diagonal/>
    </border>
    <border>
      <left style="thin">
        <color rgb="FF8CA0B5"/>
      </left>
      <right style="thin">
        <color rgb="FF626C84"/>
      </right>
      <top style="thin">
        <color rgb="FF626C84"/>
      </top>
      <bottom style="thin">
        <color rgb="FF626C84"/>
      </bottom>
      <diagonal/>
    </border>
    <border>
      <left style="thin">
        <color rgb="FF81AAA3"/>
      </left>
      <right style="thin">
        <color rgb="FF81AAA3"/>
      </right>
      <top style="thin">
        <color rgb="FF81AAA3"/>
      </top>
      <bottom style="thin">
        <color rgb="FF81AAA3"/>
      </bottom>
      <diagonal/>
    </border>
    <border>
      <left/>
      <right style="thin">
        <color rgb="FF626C84"/>
      </right>
      <top style="thin">
        <color rgb="FF8CA0B5"/>
      </top>
      <bottom style="thin">
        <color rgb="FF8CA0B5"/>
      </bottom>
      <diagonal/>
    </border>
    <border>
      <left style="thin">
        <color rgb="FF626C84"/>
      </left>
      <right/>
      <top style="thin">
        <color rgb="FF8CA0B5"/>
      </top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 style="thin">
        <color rgb="FF626C84"/>
      </bottom>
      <diagonal/>
    </border>
    <border>
      <left/>
      <right/>
      <top style="thin">
        <color rgb="FF8CA0B5"/>
      </top>
      <bottom style="thin">
        <color rgb="FF626C84"/>
      </bottom>
      <diagonal/>
    </border>
    <border>
      <left/>
      <right style="thin">
        <color rgb="FF8CA0B5"/>
      </right>
      <top style="thin">
        <color rgb="FF8CA0B5"/>
      </top>
      <bottom style="thin">
        <color rgb="FF626C8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horizontal="center" vertical="center"/>
    </xf>
    <xf numFmtId="201" fontId="1" fillId="5" borderId="0" xfId="0" applyNumberFormat="1" applyFont="1" applyFill="1" applyBorder="1" applyAlignment="1">
      <alignment horizontal="center" vertical="center"/>
    </xf>
    <xf numFmtId="202" fontId="1" fillId="5" borderId="0" xfId="0" applyNumberFormat="1" applyFont="1" applyFill="1" applyBorder="1" applyAlignment="1">
      <alignment horizontal="center" vertical="center"/>
    </xf>
    <xf numFmtId="0" fontId="1" fillId="5" borderId="0" xfId="0" applyNumberFormat="1" applyFont="1" applyFill="1" applyBorder="1" applyAlignment="1">
      <alignment horizontal="center" vertical="center" wrapText="1"/>
    </xf>
    <xf numFmtId="201" fontId="1" fillId="5" borderId="0" xfId="0" applyNumberFormat="1" applyFont="1" applyFill="1" applyBorder="1" applyAlignment="1">
      <alignment vertical="center"/>
    </xf>
    <xf numFmtId="202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 wrapText="1"/>
    </xf>
    <xf numFmtId="201" fontId="1" fillId="5" borderId="0" xfId="0" applyNumberFormat="1" applyFont="1" applyFill="1" applyBorder="1" applyAlignment="1">
      <alignment horizontal="center" vertical="center" wrapText="1"/>
    </xf>
    <xf numFmtId="202" fontId="1" fillId="5" borderId="0" xfId="0" applyNumberFormat="1" applyFont="1" applyFill="1" applyBorder="1" applyAlignment="1">
      <alignment horizontal="center" vertical="center" wrapText="1"/>
    </xf>
    <xf numFmtId="200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204" fontId="1" fillId="2" borderId="0" xfId="0" applyNumberFormat="1" applyFont="1" applyFill="1" applyBorder="1" applyAlignment="1">
      <alignment vertical="center"/>
    </xf>
    <xf numFmtId="204" fontId="1" fillId="4" borderId="0" xfId="0" applyNumberFormat="1" applyFont="1" applyFill="1" applyBorder="1" applyAlignment="1">
      <alignment vertical="center"/>
    </xf>
    <xf numFmtId="204" fontId="3" fillId="4" borderId="0" xfId="0" applyNumberFormat="1" applyFont="1" applyFill="1" applyBorder="1" applyAlignment="1">
      <alignment vertical="center"/>
    </xf>
    <xf numFmtId="205" fontId="1" fillId="3" borderId="0" xfId="0" applyNumberFormat="1" applyFont="1" applyFill="1" applyBorder="1" applyAlignment="1">
      <alignment vertical="center"/>
    </xf>
    <xf numFmtId="205" fontId="1" fillId="2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/>
    </xf>
    <xf numFmtId="205" fontId="1" fillId="3" borderId="1" xfId="0" applyNumberFormat="1" applyFont="1" applyFill="1" applyBorder="1" applyAlignment="1">
      <alignment vertical="center"/>
    </xf>
    <xf numFmtId="205" fontId="1" fillId="2" borderId="1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vertical="center"/>
    </xf>
    <xf numFmtId="205" fontId="1" fillId="3" borderId="2" xfId="0" applyNumberFormat="1" applyFont="1" applyFill="1" applyBorder="1" applyAlignment="1">
      <alignment vertical="center"/>
    </xf>
    <xf numFmtId="205" fontId="1" fillId="2" borderId="2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vertical="center"/>
    </xf>
    <xf numFmtId="205" fontId="1" fillId="3" borderId="3" xfId="0" applyNumberFormat="1" applyFont="1" applyFill="1" applyBorder="1" applyAlignment="1">
      <alignment vertical="center"/>
    </xf>
    <xf numFmtId="205" fontId="1" fillId="2" borderId="3" xfId="0" applyNumberFormat="1" applyFont="1" applyFill="1" applyBorder="1" applyAlignment="1">
      <alignment vertical="center"/>
    </xf>
    <xf numFmtId="0" fontId="1" fillId="6" borderId="0" xfId="0" applyNumberFormat="1" applyFont="1" applyFill="1" applyBorder="1" applyAlignment="1">
      <alignment vertical="center"/>
    </xf>
    <xf numFmtId="0" fontId="4" fillId="6" borderId="0" xfId="0" applyNumberFormat="1" applyFont="1" applyFill="1" applyBorder="1" applyAlignment="1">
      <alignment vertical="center"/>
    </xf>
    <xf numFmtId="205" fontId="4" fillId="6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horizontal="center" vertical="center"/>
    </xf>
    <xf numFmtId="204" fontId="3" fillId="4" borderId="0" xfId="0" applyNumberFormat="1" applyFont="1" applyFill="1" applyBorder="1" applyAlignment="1">
      <alignment horizontal="center" vertical="center"/>
    </xf>
    <xf numFmtId="205" fontId="1" fillId="3" borderId="1" xfId="0" applyNumberFormat="1" applyFont="1" applyFill="1" applyBorder="1" applyAlignment="1">
      <alignment horizontal="center" vertical="center"/>
    </xf>
    <xf numFmtId="205" fontId="1" fillId="3" borderId="2" xfId="0" applyNumberFormat="1" applyFont="1" applyFill="1" applyBorder="1" applyAlignment="1">
      <alignment horizontal="center" vertical="center"/>
    </xf>
    <xf numFmtId="205" fontId="1" fillId="3" borderId="3" xfId="0" applyNumberFormat="1" applyFont="1" applyFill="1" applyBorder="1" applyAlignment="1">
      <alignment horizontal="center" vertical="center"/>
    </xf>
    <xf numFmtId="205" fontId="4" fillId="6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205" fontId="1" fillId="5" borderId="1" xfId="0" applyNumberFormat="1" applyFont="1" applyFill="1" applyBorder="1" applyAlignment="1">
      <alignment vertical="center"/>
    </xf>
    <xf numFmtId="205" fontId="1" fillId="5" borderId="2" xfId="0" applyNumberFormat="1" applyFont="1" applyFill="1" applyBorder="1" applyAlignment="1">
      <alignment vertical="center"/>
    </xf>
    <xf numFmtId="205" fontId="1" fillId="5" borderId="3" xfId="0" applyNumberFormat="1" applyFont="1" applyFill="1" applyBorder="1" applyAlignment="1">
      <alignment vertical="center"/>
    </xf>
    <xf numFmtId="203" fontId="5" fillId="2" borderId="0" xfId="0" applyNumberFormat="1" applyFont="1" applyFill="1" applyBorder="1" applyAlignment="1">
      <alignment horizontal="center" vertical="center"/>
    </xf>
    <xf numFmtId="201" fontId="1" fillId="3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5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6" borderId="0" xfId="0" applyNumberFormat="1" applyFont="1" applyFill="1" applyBorder="1" applyAlignment="1">
      <alignment vertical="center" wrapText="1"/>
    </xf>
    <xf numFmtId="0" fontId="0" fillId="7" borderId="0" xfId="0" applyNumberFormat="1" applyFont="1" applyFill="1" applyBorder="1"/>
    <xf numFmtId="0" fontId="3" fillId="4" borderId="4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horizontal="center" vertical="center"/>
    </xf>
    <xf numFmtId="201" fontId="1" fillId="5" borderId="4" xfId="0" applyNumberFormat="1" applyFont="1" applyFill="1" applyBorder="1" applyAlignment="1">
      <alignment horizontal="center" vertical="center"/>
    </xf>
    <xf numFmtId="202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left" vertical="center"/>
    </xf>
    <xf numFmtId="202" fontId="1" fillId="5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vertical="center"/>
    </xf>
    <xf numFmtId="0" fontId="3" fillId="4" borderId="10" xfId="0" applyNumberFormat="1" applyFont="1" applyFill="1" applyBorder="1" applyAlignment="1">
      <alignment vertical="center"/>
    </xf>
    <xf numFmtId="0" fontId="3" fillId="4" borderId="11" xfId="0" applyNumberFormat="1" applyFont="1" applyFill="1" applyBorder="1" applyAlignment="1">
      <alignment vertical="center"/>
    </xf>
    <xf numFmtId="201" fontId="1" fillId="5" borderId="12" xfId="0" applyNumberFormat="1" applyFont="1" applyFill="1" applyBorder="1" applyAlignment="1">
      <alignment horizontal="center" vertical="center"/>
    </xf>
    <xf numFmtId="201" fontId="1" fillId="5" borderId="13" xfId="0" applyNumberFormat="1" applyFont="1" applyFill="1" applyBorder="1" applyAlignment="1">
      <alignment horizontal="center" vertical="center"/>
    </xf>
    <xf numFmtId="202" fontId="1" fillId="5" borderId="12" xfId="0" applyNumberFormat="1" applyFont="1" applyFill="1" applyBorder="1" applyAlignment="1">
      <alignment horizontal="center" vertical="center"/>
    </xf>
    <xf numFmtId="202" fontId="1" fillId="5" borderId="13" xfId="0" applyNumberFormat="1" applyFont="1" applyFill="1" applyBorder="1" applyAlignment="1">
      <alignment horizontal="center" vertical="center"/>
    </xf>
    <xf numFmtId="0" fontId="1" fillId="5" borderId="14" xfId="0" applyNumberFormat="1" applyFont="1" applyFill="1" applyBorder="1" applyAlignment="1">
      <alignment horizontal="center" vertical="center"/>
    </xf>
    <xf numFmtId="0" fontId="1" fillId="5" borderId="15" xfId="0" applyNumberFormat="1" applyFont="1" applyFill="1" applyBorder="1" applyAlignment="1">
      <alignment horizontal="center" vertical="center"/>
    </xf>
    <xf numFmtId="0" fontId="1" fillId="5" borderId="16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vertical="center"/>
    </xf>
    <xf numFmtId="0" fontId="3" fillId="4" borderId="18" xfId="0" applyNumberFormat="1" applyFont="1" applyFill="1" applyBorder="1" applyAlignment="1">
      <alignment vertical="center"/>
    </xf>
    <xf numFmtId="0" fontId="3" fillId="4" borderId="19" xfId="0" applyNumberFormat="1" applyFont="1" applyFill="1" applyBorder="1" applyAlignment="1">
      <alignment vertical="center"/>
    </xf>
    <xf numFmtId="201" fontId="1" fillId="5" borderId="20" xfId="0" applyNumberFormat="1" applyFont="1" applyFill="1" applyBorder="1" applyAlignment="1">
      <alignment horizontal="center" vertical="center"/>
    </xf>
    <xf numFmtId="201" fontId="1" fillId="5" borderId="21" xfId="0" applyNumberFormat="1" applyFont="1" applyFill="1" applyBorder="1" applyAlignment="1">
      <alignment horizontal="center" vertical="center"/>
    </xf>
    <xf numFmtId="201" fontId="1" fillId="5" borderId="22" xfId="0" applyNumberFormat="1" applyFont="1" applyFill="1" applyBorder="1" applyAlignment="1">
      <alignment horizontal="center" vertical="center"/>
    </xf>
    <xf numFmtId="202" fontId="1" fillId="5" borderId="20" xfId="0" applyNumberFormat="1" applyFont="1" applyFill="1" applyBorder="1" applyAlignment="1">
      <alignment horizontal="center" vertical="center"/>
    </xf>
    <xf numFmtId="202" fontId="1" fillId="5" borderId="21" xfId="0" applyNumberFormat="1" applyFont="1" applyFill="1" applyBorder="1" applyAlignment="1">
      <alignment horizontal="center" vertical="center"/>
    </xf>
    <xf numFmtId="202" fontId="1" fillId="5" borderId="22" xfId="0" applyNumberFormat="1" applyFont="1" applyFill="1" applyBorder="1" applyAlignment="1">
      <alignment horizontal="center" vertical="center"/>
    </xf>
    <xf numFmtId="0" fontId="1" fillId="5" borderId="20" xfId="0" applyNumberFormat="1" applyFont="1" applyFill="1" applyBorder="1" applyAlignment="1">
      <alignment horizontal="center" vertical="center"/>
    </xf>
    <xf numFmtId="0" fontId="1" fillId="5" borderId="21" xfId="0" applyNumberFormat="1" applyFont="1" applyFill="1" applyBorder="1" applyAlignment="1">
      <alignment horizontal="center" vertical="center"/>
    </xf>
    <xf numFmtId="0" fontId="1" fillId="5" borderId="22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center" vertical="center"/>
    </xf>
    <xf numFmtId="0" fontId="3" fillId="4" borderId="19" xfId="0" applyNumberFormat="1" applyFont="1" applyFill="1" applyBorder="1" applyAlignment="1">
      <alignment horizontal="center" vertical="center"/>
    </xf>
    <xf numFmtId="0" fontId="3" fillId="4" borderId="23" xfId="0" applyNumberFormat="1" applyFont="1" applyFill="1" applyBorder="1" applyAlignment="1">
      <alignment vertical="center"/>
    </xf>
    <xf numFmtId="201" fontId="1" fillId="5" borderId="24" xfId="0" applyNumberFormat="1" applyFont="1" applyFill="1" applyBorder="1" applyAlignment="1">
      <alignment horizontal="center" vertical="center" wrapText="1"/>
    </xf>
    <xf numFmtId="202" fontId="1" fillId="5" borderId="24" xfId="0" applyNumberFormat="1" applyFont="1" applyFill="1" applyBorder="1" applyAlignment="1">
      <alignment horizontal="center" vertical="center" wrapText="1"/>
    </xf>
    <xf numFmtId="0" fontId="1" fillId="5" borderId="25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vertical="center"/>
    </xf>
    <xf numFmtId="201" fontId="1" fillId="5" borderId="27" xfId="0" applyNumberFormat="1" applyFont="1" applyFill="1" applyBorder="1" applyAlignment="1">
      <alignment horizontal="center" vertical="center" wrapText="1"/>
    </xf>
    <xf numFmtId="202" fontId="1" fillId="5" borderId="27" xfId="0" applyNumberFormat="1" applyFont="1" applyFill="1" applyBorder="1" applyAlignment="1">
      <alignment horizontal="center" vertical="center" wrapText="1"/>
    </xf>
    <xf numFmtId="0" fontId="1" fillId="5" borderId="27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left" vertical="center"/>
    </xf>
    <xf numFmtId="0" fontId="1" fillId="2" borderId="28" xfId="0" applyNumberFormat="1" applyFont="1" applyFill="1" applyBorder="1" applyAlignment="1">
      <alignment horizontal="left" vertical="center"/>
    </xf>
    <xf numFmtId="0" fontId="1" fillId="2" borderId="29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vertical="center"/>
    </xf>
    <xf numFmtId="200" fontId="1" fillId="3" borderId="30" xfId="0" applyNumberFormat="1" applyFont="1" applyFill="1" applyBorder="1" applyAlignment="1">
      <alignment vertical="center"/>
    </xf>
    <xf numFmtId="0" fontId="1" fillId="3" borderId="31" xfId="0" applyNumberFormat="1" applyFont="1" applyFill="1" applyBorder="1" applyAlignment="1">
      <alignment vertical="center"/>
    </xf>
    <xf numFmtId="0" fontId="1" fillId="3" borderId="32" xfId="0" applyNumberFormat="1" applyFont="1" applyFill="1" applyBorder="1" applyAlignment="1">
      <alignment vertical="center"/>
    </xf>
    <xf numFmtId="0" fontId="1" fillId="3" borderId="33" xfId="0" applyNumberFormat="1" applyFont="1" applyFill="1" applyBorder="1" applyAlignment="1">
      <alignment vertical="center"/>
    </xf>
    <xf numFmtId="0" fontId="1" fillId="3" borderId="30" xfId="0" applyNumberFormat="1" applyFont="1" applyFill="1" applyBorder="1" applyAlignment="1">
      <alignment horizontal="right" vertical="center"/>
    </xf>
    <xf numFmtId="200" fontId="1" fillId="3" borderId="30" xfId="0" applyNumberFormat="1" applyFont="1" applyFill="1" applyBorder="1" applyAlignment="1">
      <alignment horizontal="right" vertical="center"/>
    </xf>
    <xf numFmtId="0" fontId="1" fillId="3" borderId="31" xfId="0" applyNumberFormat="1" applyFont="1" applyFill="1" applyBorder="1" applyAlignment="1">
      <alignment horizontal="left" vertical="center"/>
    </xf>
    <xf numFmtId="0" fontId="1" fillId="3" borderId="32" xfId="0" applyNumberFormat="1" applyFont="1" applyFill="1" applyBorder="1" applyAlignment="1">
      <alignment horizontal="left" vertical="center"/>
    </xf>
    <xf numFmtId="0" fontId="1" fillId="3" borderId="33" xfId="0" applyNumberFormat="1" applyFont="1" applyFill="1" applyBorder="1" applyAlignment="1">
      <alignment horizontal="left" vertical="center"/>
    </xf>
    <xf numFmtId="0" fontId="1" fillId="2" borderId="30" xfId="0" applyNumberFormat="1" applyFont="1" applyFill="1" applyBorder="1" applyAlignment="1">
      <alignment vertical="center"/>
    </xf>
    <xf numFmtId="200" fontId="1" fillId="2" borderId="30" xfId="0" applyNumberFormat="1" applyFont="1" applyFill="1" applyBorder="1" applyAlignment="1">
      <alignment vertical="center"/>
    </xf>
    <xf numFmtId="0" fontId="1" fillId="2" borderId="31" xfId="0" applyNumberFormat="1" applyFont="1" applyFill="1" applyBorder="1" applyAlignment="1">
      <alignment vertical="center"/>
    </xf>
    <xf numFmtId="0" fontId="1" fillId="2" borderId="32" xfId="0" applyNumberFormat="1" applyFont="1" applyFill="1" applyBorder="1" applyAlignment="1">
      <alignment vertical="center"/>
    </xf>
    <xf numFmtId="0" fontId="1" fillId="2" borderId="33" xfId="0" applyNumberFormat="1" applyFont="1" applyFill="1" applyBorder="1" applyAlignment="1">
      <alignment vertical="center"/>
    </xf>
    <xf numFmtId="0" fontId="1" fillId="2" borderId="30" xfId="0" applyNumberFormat="1" applyFont="1" applyFill="1" applyBorder="1" applyAlignment="1">
      <alignment horizontal="right" vertical="center"/>
    </xf>
    <xf numFmtId="200" fontId="1" fillId="2" borderId="30" xfId="0" applyNumberFormat="1" applyFont="1" applyFill="1" applyBorder="1" applyAlignment="1">
      <alignment horizontal="right" vertical="center"/>
    </xf>
    <xf numFmtId="0" fontId="1" fillId="2" borderId="31" xfId="0" applyNumberFormat="1" applyFont="1" applyFill="1" applyBorder="1" applyAlignment="1">
      <alignment horizontal="left" vertical="center"/>
    </xf>
    <xf numFmtId="0" fontId="1" fillId="2" borderId="32" xfId="0" applyNumberFormat="1" applyFont="1" applyFill="1" applyBorder="1" applyAlignment="1">
      <alignment horizontal="left" vertical="center"/>
    </xf>
    <xf numFmtId="0" fontId="1" fillId="2" borderId="33" xfId="0" applyNumberFormat="1" applyFont="1" applyFill="1" applyBorder="1" applyAlignment="1">
      <alignment horizontal="left" vertical="center"/>
    </xf>
    <xf numFmtId="0" fontId="3" fillId="4" borderId="0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/>
    </xf>
    <xf numFmtId="0" fontId="1" fillId="3" borderId="2" xfId="0" applyNumberFormat="1" applyFont="1" applyFill="1" applyBorder="1" applyAlignment="1">
      <alignment horizontal="left" vertical="center"/>
    </xf>
    <xf numFmtId="0" fontId="1" fillId="3" borderId="3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/>
    </xf>
    <xf numFmtId="205" fontId="1" fillId="3" borderId="4" xfId="0" applyNumberFormat="1" applyFont="1" applyFill="1" applyBorder="1" applyAlignment="1">
      <alignment horizontal="center" vertical="center"/>
    </xf>
    <xf numFmtId="205" fontId="1" fillId="5" borderId="4" xfId="0" applyNumberFormat="1" applyFont="1" applyFill="1" applyBorder="1" applyAlignment="1">
      <alignment vertical="center"/>
    </xf>
    <xf numFmtId="0" fontId="1" fillId="3" borderId="34" xfId="0" applyNumberFormat="1" applyFont="1" applyFill="1" applyBorder="1" applyAlignment="1">
      <alignment horizontal="left" vertical="center"/>
    </xf>
    <xf numFmtId="205" fontId="1" fillId="5" borderId="35" xfId="0" applyNumberFormat="1" applyFont="1" applyFill="1" applyBorder="1" applyAlignment="1">
      <alignment vertical="center"/>
    </xf>
    <xf numFmtId="205" fontId="1" fillId="5" borderId="35" xfId="0" applyNumberFormat="1" applyFont="1" applyFill="1" applyBorder="1" applyAlignment="1">
      <alignment horizontal="right" vertical="center"/>
    </xf>
    <xf numFmtId="0" fontId="3" fillId="4" borderId="36" xfId="0" applyNumberFormat="1" applyFont="1" applyFill="1" applyBorder="1" applyAlignment="1">
      <alignment horizontal="left" vertical="center"/>
    </xf>
    <xf numFmtId="204" fontId="3" fillId="4" borderId="36" xfId="0" applyNumberFormat="1" applyFont="1" applyFill="1" applyBorder="1" applyAlignment="1">
      <alignment horizontal="center" vertical="center"/>
    </xf>
    <xf numFmtId="0" fontId="3" fillId="4" borderId="36" xfId="0" applyNumberFormat="1" applyFont="1" applyFill="1" applyBorder="1" applyAlignment="1">
      <alignment vertical="center"/>
    </xf>
    <xf numFmtId="0" fontId="3" fillId="4" borderId="36" xfId="0" applyNumberFormat="1" applyFont="1" applyFill="1" applyBorder="1" applyAlignment="1">
      <alignment horizontal="left" vertical="center" wrapText="1"/>
    </xf>
    <xf numFmtId="0" fontId="4" fillId="6" borderId="37" xfId="0" applyNumberFormat="1" applyFont="1" applyFill="1" applyBorder="1" applyAlignment="1">
      <alignment horizontal="left" vertical="center"/>
    </xf>
    <xf numFmtId="205" fontId="4" fillId="6" borderId="8" xfId="0" applyNumberFormat="1" applyFont="1" applyFill="1" applyBorder="1" applyAlignment="1">
      <alignment horizontal="center" vertical="center"/>
    </xf>
    <xf numFmtId="205" fontId="4" fillId="6" borderId="38" xfId="0" applyNumberFormat="1" applyFont="1" applyFill="1" applyBorder="1" applyAlignment="1">
      <alignment vertical="center"/>
    </xf>
    <xf numFmtId="0" fontId="4" fillId="6" borderId="37" xfId="0" applyNumberFormat="1" applyFont="1" applyFill="1" applyBorder="1" applyAlignment="1">
      <alignment horizontal="left" vertical="center" wrapText="1"/>
    </xf>
    <xf numFmtId="0" fontId="1" fillId="2" borderId="9" xfId="0" applyNumberFormat="1" applyFont="1" applyFill="1" applyBorder="1" applyAlignment="1">
      <alignment vertical="center"/>
    </xf>
    <xf numFmtId="0" fontId="1" fillId="2" borderId="10" xfId="0" applyNumberFormat="1" applyFont="1" applyFill="1" applyBorder="1" applyAlignment="1">
      <alignment vertical="center"/>
    </xf>
    <xf numFmtId="201" fontId="1" fillId="3" borderId="10" xfId="0" applyNumberFormat="1" applyFont="1" applyFill="1" applyBorder="1" applyAlignment="1">
      <alignment vertical="center"/>
    </xf>
    <xf numFmtId="201" fontId="1" fillId="3" borderId="11" xfId="0" applyNumberFormat="1" applyFont="1" applyFill="1" applyBorder="1" applyAlignment="1">
      <alignment vertical="center"/>
    </xf>
    <xf numFmtId="0" fontId="1" fillId="2" borderId="12" xfId="0" applyNumberFormat="1" applyFont="1" applyFill="1" applyBorder="1" applyAlignment="1">
      <alignment vertical="center"/>
    </xf>
    <xf numFmtId="201" fontId="1" fillId="3" borderId="13" xfId="0" applyNumberFormat="1" applyFont="1" applyFill="1" applyBorder="1" applyAlignment="1">
      <alignment vertical="center"/>
    </xf>
    <xf numFmtId="201" fontId="1" fillId="5" borderId="13" xfId="0" applyNumberFormat="1" applyFont="1" applyFill="1" applyBorder="1" applyAlignment="1">
      <alignment vertical="center"/>
    </xf>
    <xf numFmtId="202" fontId="1" fillId="5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202" fontId="1" fillId="5" borderId="15" xfId="0" applyNumberFormat="1" applyFont="1" applyFill="1" applyBorder="1" applyAlignment="1">
      <alignment vertical="center"/>
    </xf>
    <xf numFmtId="202" fontId="1" fillId="5" borderId="16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vertical="center"/>
    </xf>
    <xf numFmtId="0" fontId="1" fillId="2" borderId="40" xfId="0" applyNumberFormat="1" applyFont="1" applyFill="1" applyBorder="1" applyAlignment="1">
      <alignment vertical="center"/>
    </xf>
    <xf numFmtId="0" fontId="1" fillId="2" borderId="41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horizontal="left" vertical="center"/>
    </xf>
    <xf numFmtId="0" fontId="1" fillId="2" borderId="40" xfId="0" applyNumberFormat="1" applyFont="1" applyFill="1" applyBorder="1" applyAlignment="1">
      <alignment horizontal="left" vertical="center"/>
    </xf>
    <xf numFmtId="0" fontId="1" fillId="2" borderId="41" xfId="0" applyNumberFormat="1" applyFont="1" applyFill="1" applyBorder="1" applyAlignment="1">
      <alignment horizontal="left" vertical="center"/>
    </xf>
    <xf numFmtId="201" fontId="1" fillId="3" borderId="40" xfId="0" applyNumberFormat="1" applyFont="1" applyFill="1" applyBorder="1" applyAlignment="1">
      <alignment vertical="center"/>
    </xf>
    <xf numFmtId="201" fontId="1" fillId="3" borderId="41" xfId="0" applyNumberFormat="1" applyFont="1" applyFill="1" applyBorder="1" applyAlignment="1">
      <alignment vertical="center"/>
    </xf>
    <xf numFmtId="201" fontId="1" fillId="3" borderId="40" xfId="0" applyNumberFormat="1" applyFont="1" applyFill="1" applyBorder="1" applyAlignment="1">
      <alignment horizontal="right" vertical="center"/>
    </xf>
    <xf numFmtId="201" fontId="1" fillId="3" borderId="41" xfId="0" applyNumberFormat="1" applyFont="1" applyFill="1" applyBorder="1" applyAlignment="1">
      <alignment horizontal="right" vertical="center"/>
    </xf>
    <xf numFmtId="0" fontId="1" fillId="2" borderId="20" xfId="0" applyNumberFormat="1" applyFont="1" applyFill="1" applyBorder="1" applyAlignment="1">
      <alignment vertical="center"/>
    </xf>
    <xf numFmtId="0" fontId="1" fillId="2" borderId="21" xfId="0" applyNumberFormat="1" applyFont="1" applyFill="1" applyBorder="1" applyAlignment="1">
      <alignment vertical="center"/>
    </xf>
    <xf numFmtId="0" fontId="1" fillId="2" borderId="22" xfId="0" applyNumberFormat="1" applyFont="1" applyFill="1" applyBorder="1" applyAlignment="1">
      <alignment vertical="center"/>
    </xf>
    <xf numFmtId="0" fontId="1" fillId="2" borderId="20" xfId="0" applyNumberFormat="1" applyFont="1" applyFill="1" applyBorder="1" applyAlignment="1">
      <alignment horizontal="left" vertical="center"/>
    </xf>
    <xf numFmtId="0" fontId="1" fillId="2" borderId="22" xfId="0" applyNumberFormat="1" applyFont="1" applyFill="1" applyBorder="1" applyAlignment="1">
      <alignment horizontal="left" vertical="center"/>
    </xf>
    <xf numFmtId="201" fontId="1" fillId="3" borderId="21" xfId="0" applyNumberFormat="1" applyFont="1" applyFill="1" applyBorder="1" applyAlignment="1">
      <alignment vertical="center"/>
    </xf>
    <xf numFmtId="201" fontId="1" fillId="3" borderId="22" xfId="0" applyNumberFormat="1" applyFont="1" applyFill="1" applyBorder="1" applyAlignment="1">
      <alignment vertical="center"/>
    </xf>
    <xf numFmtId="201" fontId="1" fillId="3" borderId="21" xfId="0" applyNumberFormat="1" applyFont="1" applyFill="1" applyBorder="1" applyAlignment="1">
      <alignment horizontal="right" vertical="center"/>
    </xf>
    <xf numFmtId="201" fontId="1" fillId="3" borderId="22" xfId="0" applyNumberFormat="1" applyFont="1" applyFill="1" applyBorder="1" applyAlignment="1">
      <alignment horizontal="right" vertical="center"/>
    </xf>
    <xf numFmtId="201" fontId="1" fillId="5" borderId="21" xfId="0" applyNumberFormat="1" applyFont="1" applyFill="1" applyBorder="1" applyAlignment="1">
      <alignment vertical="center"/>
    </xf>
    <xf numFmtId="201" fontId="1" fillId="5" borderId="22" xfId="0" applyNumberFormat="1" applyFont="1" applyFill="1" applyBorder="1" applyAlignment="1">
      <alignment vertical="center"/>
    </xf>
    <xf numFmtId="201" fontId="1" fillId="5" borderId="21" xfId="0" applyNumberFormat="1" applyFont="1" applyFill="1" applyBorder="1" applyAlignment="1">
      <alignment horizontal="right" vertical="center"/>
    </xf>
    <xf numFmtId="201" fontId="1" fillId="5" borderId="22" xfId="0" applyNumberFormat="1" applyFont="1" applyFill="1" applyBorder="1" applyAlignment="1">
      <alignment horizontal="right" vertical="center"/>
    </xf>
    <xf numFmtId="202" fontId="1" fillId="5" borderId="21" xfId="0" applyNumberFormat="1" applyFont="1" applyFill="1" applyBorder="1" applyAlignment="1">
      <alignment vertical="center"/>
    </xf>
    <xf numFmtId="202" fontId="1" fillId="5" borderId="22" xfId="0" applyNumberFormat="1" applyFont="1" applyFill="1" applyBorder="1" applyAlignment="1">
      <alignment vertical="center"/>
    </xf>
    <xf numFmtId="202" fontId="1" fillId="5" borderId="21" xfId="0" applyNumberFormat="1" applyFont="1" applyFill="1" applyBorder="1" applyAlignment="1">
      <alignment horizontal="right" vertical="center"/>
    </xf>
    <xf numFmtId="202" fontId="1" fillId="5" borderId="22" xfId="0" applyNumberFormat="1" applyFont="1" applyFill="1" applyBorder="1" applyAlignment="1">
      <alignment horizontal="right" vertical="center"/>
    </xf>
    <xf numFmtId="201" fontId="1" fillId="5" borderId="10" xfId="0" applyNumberFormat="1" applyFont="1" applyFill="1" applyBorder="1" applyAlignment="1">
      <alignment vertical="center"/>
    </xf>
    <xf numFmtId="201" fontId="1" fillId="5" borderId="11" xfId="0" applyNumberFormat="1" applyFont="1" applyFill="1" applyBorder="1" applyAlignment="1">
      <alignment vertical="center"/>
    </xf>
    <xf numFmtId="201" fontId="1" fillId="5" borderId="15" xfId="0" applyNumberFormat="1" applyFont="1" applyFill="1" applyBorder="1" applyAlignment="1">
      <alignment vertical="center"/>
    </xf>
    <xf numFmtId="201" fontId="1" fillId="5" borderId="16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vertical="center"/>
    </xf>
    <xf numFmtId="201" fontId="1" fillId="5" borderId="41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horizontal="right" vertical="center"/>
    </xf>
    <xf numFmtId="201" fontId="1" fillId="5" borderId="41" xfId="0" applyNumberFormat="1" applyFont="1" applyFill="1" applyBorder="1" applyAlignment="1">
      <alignment horizontal="right" vertical="center"/>
    </xf>
    <xf numFmtId="0" fontId="7" fillId="5" borderId="0" xfId="0" applyNumberFormat="1" applyFont="1" applyFill="1" applyBorder="1" applyAlignment="1">
      <alignment horizontal="left" vertical="center"/>
    </xf>
    <xf numFmtId="0" fontId="1" fillId="5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 wrapText="1"/>
    </xf>
    <xf numFmtId="0" fontId="7" fillId="5" borderId="4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horizontal="right" vertical="center" indent="1"/>
    </xf>
    <xf numFmtId="0" fontId="1" fillId="3" borderId="31" xfId="0" applyNumberFormat="1" applyFont="1" applyFill="1" applyBorder="1" applyAlignment="1">
      <alignment horizontal="left" vertical="center" indent="1"/>
    </xf>
    <xf numFmtId="0" fontId="1" fillId="3" borderId="32" xfId="0" applyNumberFormat="1" applyFont="1" applyFill="1" applyBorder="1" applyAlignment="1">
      <alignment horizontal="left" vertical="center" indent="1"/>
    </xf>
    <xf numFmtId="0" fontId="1" fillId="3" borderId="33" xfId="0" applyNumberFormat="1" applyFont="1" applyFill="1" applyBorder="1" applyAlignment="1">
      <alignment horizontal="left" vertical="center" indent="1"/>
    </xf>
    <xf numFmtId="200" fontId="1" fillId="3" borderId="30" xfId="0" applyNumberFormat="1" applyFont="1" applyFill="1" applyBorder="1" applyAlignment="1">
      <alignment horizontal="right" vertical="center" indent="1"/>
    </xf>
    <xf numFmtId="0" fontId="3" fillId="4" borderId="5" xfId="0" applyNumberFormat="1" applyFont="1" applyFill="1" applyBorder="1" applyAlignment="1">
      <alignment horizontal="left" vertical="center" indent="1"/>
    </xf>
    <xf numFmtId="0" fontId="1" fillId="2" borderId="4" xfId="0" applyNumberFormat="1" applyFont="1" applyFill="1" applyBorder="1" applyAlignment="1">
      <alignment horizontal="left" vertical="center" indent="1"/>
    </xf>
    <xf numFmtId="0" fontId="1" fillId="2" borderId="8" xfId="0" applyNumberFormat="1" applyFont="1" applyFill="1" applyBorder="1" applyAlignment="1">
      <alignment horizontal="left" vertical="center" indent="1"/>
    </xf>
    <xf numFmtId="0" fontId="1" fillId="2" borderId="21" xfId="0" applyNumberFormat="1" applyFont="1" applyFill="1" applyBorder="1" applyAlignment="1">
      <alignment horizontal="left" vertical="center" indent="1"/>
    </xf>
    <xf numFmtId="0" fontId="1" fillId="2" borderId="28" xfId="0" applyNumberFormat="1" applyFont="1" applyFill="1" applyBorder="1" applyAlignment="1">
      <alignment horizontal="left" vertical="center" indent="1"/>
    </xf>
    <xf numFmtId="0" fontId="1" fillId="2" borderId="29" xfId="0" applyNumberFormat="1" applyFont="1" applyFill="1" applyBorder="1" applyAlignment="1">
      <alignment horizontal="left" vertical="center" indent="1"/>
    </xf>
    <xf numFmtId="0" fontId="1" fillId="2" borderId="30" xfId="0" applyNumberFormat="1" applyFont="1" applyFill="1" applyBorder="1" applyAlignment="1">
      <alignment horizontal="right" vertical="center" indent="1"/>
    </xf>
    <xf numFmtId="0" fontId="1" fillId="2" borderId="31" xfId="0" applyNumberFormat="1" applyFont="1" applyFill="1" applyBorder="1" applyAlignment="1">
      <alignment horizontal="left" vertical="center" indent="1"/>
    </xf>
    <xf numFmtId="0" fontId="1" fillId="2" borderId="32" xfId="0" applyNumberFormat="1" applyFont="1" applyFill="1" applyBorder="1" applyAlignment="1">
      <alignment horizontal="left" vertical="center" indent="1"/>
    </xf>
    <xf numFmtId="0" fontId="1" fillId="2" borderId="33" xfId="0" applyNumberFormat="1" applyFont="1" applyFill="1" applyBorder="1" applyAlignment="1">
      <alignment horizontal="left" vertical="center" indent="1"/>
    </xf>
    <xf numFmtId="200" fontId="1" fillId="2" borderId="30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wrapText="1" indent="1"/>
    </xf>
    <xf numFmtId="0" fontId="3" fillId="4" borderId="36" xfId="0" applyNumberFormat="1" applyFont="1" applyFill="1" applyBorder="1" applyAlignment="1">
      <alignment vertical="center" horizontal="left" indent="1"/>
    </xf>
    <xf numFmtId="0" fontId="1" fillId="3" borderId="34" xfId="0" applyNumberFormat="1" applyFont="1" applyFill="1" applyBorder="1" applyAlignment="1">
      <alignment horizontal="left" vertical="center" indent="1"/>
    </xf>
    <xf numFmtId="205" fontId="1" fillId="5" borderId="35" xfId="0" applyNumberFormat="1" applyFont="1" applyFill="1" applyBorder="1" applyAlignment="1">
      <alignment horizontal="right" vertical="center" indent="1"/>
    </xf>
    <xf numFmtId="0" fontId="4" fillId="6" borderId="37" xfId="0" applyNumberFormat="1" applyFont="1" applyFill="1" applyBorder="1" applyAlignment="1">
      <alignment horizontal="left" vertical="center" wrapText="1" indent="1"/>
    </xf>
    <xf numFmtId="205" fontId="4" fillId="6" borderId="38" xfId="0" applyNumberFormat="1" applyFont="1" applyFill="1" applyBorder="1" applyAlignment="1">
      <alignment vertical="center" horizontal="right" indent="1"/>
    </xf>
    <xf numFmtId="0" fontId="1" fillId="2" borderId="39" xfId="0" applyNumberFormat="1" applyFont="1" applyFill="1" applyBorder="1" applyAlignment="1">
      <alignment horizontal="left" vertical="center" indent="1"/>
    </xf>
    <xf numFmtId="0" fontId="1" fillId="2" borderId="40" xfId="0" applyNumberFormat="1" applyFont="1" applyFill="1" applyBorder="1" applyAlignment="1">
      <alignment horizontal="left" vertical="center" indent="1"/>
    </xf>
    <xf numFmtId="0" fontId="1" fillId="2" borderId="41" xfId="0" applyNumberFormat="1" applyFont="1" applyFill="1" applyBorder="1" applyAlignment="1">
      <alignment horizontal="left" vertical="center" indent="1"/>
    </xf>
    <xf numFmtId="201" fontId="1" fillId="3" borderId="40" xfId="0" applyNumberFormat="1" applyFont="1" applyFill="1" applyBorder="1" applyAlignment="1">
      <alignment horizontal="right" vertical="center" indent="1"/>
    </xf>
    <xf numFmtId="201" fontId="1" fillId="3" borderId="41" xfId="0" applyNumberFormat="1" applyFont="1" applyFill="1" applyBorder="1" applyAlignment="1">
      <alignment horizontal="right" vertical="center" indent="1"/>
    </xf>
    <xf numFmtId="201" fontId="1" fillId="5" borderId="40" xfId="0" applyNumberFormat="1" applyFont="1" applyFill="1" applyBorder="1" applyAlignment="1">
      <alignment horizontal="right" vertical="center" indent="1"/>
    </xf>
    <xf numFmtId="201" fontId="1" fillId="5" borderId="41" xfId="0" applyNumberFormat="1" applyFont="1" applyFill="1" applyBorder="1" applyAlignment="1">
      <alignment horizontal="right" vertical="center" indent="1"/>
    </xf>
    <xf numFmtId="0" fontId="1" fillId="2" borderId="20" xfId="0" applyNumberFormat="1" applyFont="1" applyFill="1" applyBorder="1" applyAlignment="1">
      <alignment horizontal="left" vertical="center" indent="1"/>
    </xf>
    <xf numFmtId="0" fontId="1" fillId="2" borderId="22" xfId="0" applyNumberFormat="1" applyFont="1" applyFill="1" applyBorder="1" applyAlignment="1">
      <alignment horizontal="left" vertical="center" indent="1"/>
    </xf>
    <xf numFmtId="201" fontId="1" fillId="3" borderId="21" xfId="0" applyNumberFormat="1" applyFont="1" applyFill="1" applyBorder="1" applyAlignment="1">
      <alignment horizontal="right" vertical="center" indent="1"/>
    </xf>
    <xf numFmtId="201" fontId="1" fillId="3" borderId="22" xfId="0" applyNumberFormat="1" applyFont="1" applyFill="1" applyBorder="1" applyAlignment="1">
      <alignment horizontal="right" vertical="center" indent="1"/>
    </xf>
    <xf numFmtId="201" fontId="1" fillId="5" borderId="21" xfId="0" applyNumberFormat="1" applyFont="1" applyFill="1" applyBorder="1" applyAlignment="1">
      <alignment horizontal="right" vertical="center" indent="1"/>
    </xf>
    <xf numFmtId="201" fontId="1" fillId="5" borderId="22" xfId="0" applyNumberFormat="1" applyFont="1" applyFill="1" applyBorder="1" applyAlignment="1">
      <alignment horizontal="right" vertical="center" indent="1"/>
    </xf>
    <xf numFmtId="202" fontId="1" fillId="5" borderId="21" xfId="0" applyNumberFormat="1" applyFont="1" applyFill="1" applyBorder="1" applyAlignment="1">
      <alignment horizontal="right" vertical="center" indent="1"/>
    </xf>
    <xf numFmtId="202" fontId="1" fillId="5" borderId="22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indent="1"/>
    </xf>
    <xf numFmtId="0" fontId="7" fillId="5" borderId="4" xfId="0" applyNumberFormat="1" applyFont="1" applyFill="1" applyBorder="1" applyAlignment="1">
      <alignment horizontal="left" vertical="center" indent="1"/>
    </xf>
    <xf numFmtId="0" fontId="1" fillId="5" borderId="4" xfId="0" applyNumberFormat="1" applyFont="1" applyFill="1" applyBorder="1" applyAlignment="1">
      <alignment horizontal="left" vertical="center" indent="1"/>
    </xf>
  </cellXfs>
  <cellStyles count="1">
    <cellStyle name="Normal" xfId="0"/>
  </cellStyles>
  <dxfs count="196"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6d487fd624efd" /><Relationship Type="http://schemas.openxmlformats.org/officeDocument/2006/relationships/theme" Target="/xl/theme/theme1.xml" Id="R1bca576a5197449e" /><Relationship Type="http://schemas.openxmlformats.org/officeDocument/2006/relationships/sharedStrings" Target="/xl/sharedStrings.xml" Id="R9fdb5cf85b224111" /><Relationship Type="http://schemas.openxmlformats.org/officeDocument/2006/relationships/worksheet" Target="/xl/worksheets/sheet1.xml" Id="R50ddd7a336324165" /><Relationship Type="http://schemas.openxmlformats.org/officeDocument/2006/relationships/worksheet" Target="/xl/worksheets/sheet2.xml" Id="R48013e13691344da" /><Relationship Type="http://schemas.openxmlformats.org/officeDocument/2006/relationships/worksheet" Target="/xl/worksheets/sheet3.xml" Id="R642d3600fbc14a17" /><Relationship Type="http://schemas.openxmlformats.org/officeDocument/2006/relationships/worksheet" Target="/xl/worksheets/sheet4.xml" Id="Ra3414f7840464504" /><Relationship Type="http://schemas.openxmlformats.org/officeDocument/2006/relationships/worksheet" Target="/xl/worksheets/sheet5.xml" Id="R0bd650a356774b91" /><Relationship Type="http://schemas.openxmlformats.org/officeDocument/2006/relationships/worksheet" Target="/xl/worksheets/sheet6.xml" Id="Ra90230caa13c4210" /><Relationship Type="http://schemas.openxmlformats.org/officeDocument/2006/relationships/worksheet" Target="/xl/worksheets/sheet7.xml" Id="R6faaa1a149c749b9" /><Relationship Type="http://schemas.openxmlformats.org/officeDocument/2006/relationships/worksheet" Target="/xl/worksheets/sheet8.xml" Id="Rd2a42fcd949f4c36" /><Relationship Type="http://schemas.openxmlformats.org/officeDocument/2006/relationships/worksheet" Target="/xl/worksheets/sheet9.xml" Id="R3e3d7f48017843bf" /><Relationship Type="http://schemas.openxmlformats.org/officeDocument/2006/relationships/worksheet" Target="/xl/worksheets/sheet10.xml" Id="Rcb7f76a22e93414d" /><Relationship Type="http://schemas.openxmlformats.org/officeDocument/2006/relationships/worksheet" Target="/xl/worksheets/sheet11.xml" Id="Raf99eb12aaa04eef" /><Relationship Type="http://schemas.openxmlformats.org/officeDocument/2006/relationships/worksheet" Target="/xl/worksheets/sheet12.xml" Id="R79b66159b29041f9" /><Relationship Type="http://schemas.openxmlformats.org/officeDocument/2006/relationships/worksheet" Target="/xl/worksheets/sheet13.xml" Id="R4eb22c0e062d4f8b" /><Relationship Type="http://schemas.openxmlformats.org/officeDocument/2006/relationships/worksheet" Target="/xl/worksheets/sheet14.xml" Id="R1f6986eab6ce4792" /><Relationship Type="http://schemas.openxmlformats.org/officeDocument/2006/relationships/worksheet" Target="/xl/worksheets/sheet15.xml" Id="Rb5a72baf768044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92D7C4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Billable utilisation tracker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01" t="n">
        <v>2026</v>
      </c>
      <c r="D4" s="3"/>
      <c r="E4" s="3" t="str">
        <v>Name</v>
      </c>
      <c r="F4" s="202" t="str">
        <v>Enter your name</v>
      </c>
      <c r="G4" s="203"/>
      <c r="H4" s="203"/>
      <c r="I4" s="203"/>
      <c r="J4" s="204"/>
      <c r="K4" s="3"/>
      <c r="L4" s="3" t="str">
        <v>Target</v>
      </c>
      <c r="M4" s="3"/>
      <c r="N4" s="205" t="n">
        <v>0.75</v>
      </c>
      <c r="O4" s="3"/>
      <c r="P4" s="3"/>
      <c r="Q4" s="55"/>
    </row>
    <row r="5" ht="23" customHeight="1">
      <c r="A5" s="3"/>
      <c r="B5" s="3" t="str">
        <v>Hours per working day</v>
      </c>
      <c r="C5" s="201" t="n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Billable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Billable hours</v>
      </c>
      <c r="C12" s="59" t="str">
        <f>IF(OR(C10="Not started",C17&lt;&gt;"OK"),"",'Jan'!I42)</f>
      </c>
      <c r="D12" s="59" t="str">
        <f>IF(OR(D10="Not started",D17&lt;&gt;"OK"),"",'Feb'!I42)</f>
      </c>
      <c r="E12" s="59" t="str">
        <f>IF(OR(E10="Not started",E17&lt;&gt;"OK"),"",'Mar'!I42)</f>
      </c>
      <c r="F12" s="59" t="str">
        <f>IF(OR(F10="Not started",F17&lt;&gt;"OK"),"",'Apr'!I42)</f>
      </c>
      <c r="G12" s="59" t="str">
        <f>IF(OR(G10="Not started",G17&lt;&gt;"OK"),"",'May'!I42)</f>
      </c>
      <c r="H12" s="59" t="str">
        <f>IF(OR(H10="Not started",H17&lt;&gt;"OK"),"",'Jun'!I42)</f>
      </c>
      <c r="I12" s="59" t="str">
        <f>IF(OR(I10="Not started",I17&lt;&gt;"OK"),"",'Jul'!I42)</f>
      </c>
      <c r="J12" s="59" t="str">
        <f>IF(OR(J10="Not started",J17&lt;&gt;"OK"),"",'Aug'!I42)</f>
      </c>
      <c r="K12" s="59" t="str">
        <f>IF(OR(K10="Not started",K17&lt;&gt;"OK"),"",'Sep'!I42)</f>
      </c>
      <c r="L12" s="59" t="str">
        <f>IF(OR(L10="Not started",L17&lt;&gt;"OK"),"",'Oct'!I42)</f>
      </c>
      <c r="M12" s="59" t="str">
        <f>IF(OR(M10="Not started",M17&lt;&gt;"OK"),"",'Nov'!I42)</f>
      </c>
      <c r="N12" s="59" t="str">
        <f>IF(OR(N10="Not started",N17&lt;&gt;"OK"),"",'Dec'!I42)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started",C17&lt;&gt;"OK"),"",'Jan'!I43)</f>
      </c>
      <c r="D14" s="71" t="str">
        <f>IF(OR(D10="Not started",D17&lt;&gt;"OK"),"",'Feb'!I43)</f>
      </c>
      <c r="E14" s="71" t="str">
        <f>IF(OR(E10="Not started",E17&lt;&gt;"OK"),"",'Mar'!I43)</f>
      </c>
      <c r="F14" s="71" t="str">
        <f>IF(OR(F10="Not started",F17&lt;&gt;"OK"),"",'Apr'!I43)</f>
      </c>
      <c r="G14" s="71" t="str">
        <f>IF(OR(G10="Not started",G17&lt;&gt;"OK"),"",'May'!I43)</f>
      </c>
      <c r="H14" s="71" t="str">
        <f>IF(OR(H10="Not started",H17&lt;&gt;"OK"),"",'Jun'!I43)</f>
      </c>
      <c r="I14" s="71" t="str">
        <f>IF(OR(I10="Not started",I17&lt;&gt;"OK"),"",'Jul'!I43)</f>
      </c>
      <c r="J14" s="71" t="str">
        <f>IF(OR(J10="Not started",J17&lt;&gt;"OK"),"",'Aug'!I43)</f>
      </c>
      <c r="K14" s="71" t="str">
        <f>IF(OR(K10="Not started",K17&lt;&gt;"OK"),"",'Sep'!I43)</f>
      </c>
      <c r="L14" s="71" t="str">
        <f>IF(OR(L10="Not started",L17&lt;&gt;"OK"),"",'Oct'!I43)</f>
      </c>
      <c r="M14" s="71" t="str">
        <f>IF(OR(M10="Not started",M17&lt;&gt;"OK"),"",'Nov'!I43)</f>
      </c>
      <c r="N14" s="71" t="str">
        <f>IF(OR(N10="Not started",N17&lt;&gt;"OK"),"",'Dec'!I43)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started",C17&lt;&gt;"OK"),"",'Jan'!I45)</f>
      </c>
      <c r="D15" s="60" t="str">
        <f>IF(OR(D10="Not started",D17&lt;&gt;"OK"),"",'Feb'!I45)</f>
      </c>
      <c r="E15" s="60" t="str">
        <f>IF(OR(E10="Not started",E17&lt;&gt;"OK"),"",'Mar'!I45)</f>
      </c>
      <c r="F15" s="60" t="str">
        <f>IF(OR(F10="Not started",F17&lt;&gt;"OK"),"",'Apr'!I45)</f>
      </c>
      <c r="G15" s="60" t="str">
        <f>IF(OR(G10="Not started",G17&lt;&gt;"OK"),"",'May'!I45)</f>
      </c>
      <c r="H15" s="60" t="str">
        <f>IF(OR(H10="Not started",H17&lt;&gt;"OK"),"",'Jun'!I45)</f>
      </c>
      <c r="I15" s="60" t="str">
        <f>IF(OR(I10="Not started",I17&lt;&gt;"OK"),"",'Jul'!I45)</f>
      </c>
      <c r="J15" s="60" t="str">
        <f>IF(OR(J10="Not started",J17&lt;&gt;"OK"),"",'Aug'!I45)</f>
      </c>
      <c r="K15" s="60" t="str">
        <f>IF(OR(K10="Not started",K17&lt;&gt;"OK"),"",'Sep'!I45)</f>
      </c>
      <c r="L15" s="60" t="str">
        <f>IF(OR(L10="Not started",L17&lt;&gt;"OK"),"",'Oct'!I45)</f>
      </c>
      <c r="M15" s="60" t="str">
        <f>IF(OR(M10="Not started",M17&lt;&gt;"OK"),"",'Nov'!I45)</f>
      </c>
      <c r="N15" s="60" t="str">
        <f>IF(OR(N10="Not started",N17&lt;&gt;"OK"),"",'Dec'!I45)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started",C17&lt;&gt;"OK"),"",'Jan'!U45)</f>
      </c>
      <c r="D16" s="59" t="str">
        <f>IF(OR(D10="Not started",D17&lt;&gt;"OK"),"",'Feb'!U45)</f>
      </c>
      <c r="E16" s="59" t="str">
        <f>IF(OR(E10="Not started",E17&lt;&gt;"OK"),"",'Mar'!U45)</f>
      </c>
      <c r="F16" s="59" t="str">
        <f>IF(OR(F10="Not started",F17&lt;&gt;"OK"),"",'Apr'!U45)</f>
      </c>
      <c r="G16" s="59" t="str">
        <f>IF(OR(G10="Not started",G17&lt;&gt;"OK"),"",'May'!U45)</f>
      </c>
      <c r="H16" s="59" t="str">
        <f>IF(OR(H10="Not started",H17&lt;&gt;"OK"),"",'Jun'!U45)</f>
      </c>
      <c r="I16" s="59" t="str">
        <f>IF(OR(I10="Not started",I17&lt;&gt;"OK"),"",'Jul'!U45)</f>
      </c>
      <c r="J16" s="59" t="str">
        <f>IF(OR(J10="Not started",J17&lt;&gt;"OK"),"",'Aug'!U45)</f>
      </c>
      <c r="K16" s="59" t="str">
        <f>IF(OR(K10="Not started",K17&lt;&gt;"OK"),"",'Sep'!U45)</f>
      </c>
      <c r="L16" s="59" t="str">
        <f>IF(OR(L10="Not started",L17&lt;&gt;"OK"),"",'Oct'!U45)</f>
      </c>
      <c r="M16" s="59" t="str">
        <f>IF(OR(M10="Not started",M17&lt;&gt;"OK"),"",'Nov'!U45)</f>
      </c>
      <c r="N16" s="59" t="str">
        <f>IF(OR(N10="Not started",N17&lt;&gt;"OK"),"",'Dec'!U45)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Billable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1. Enter your name, year and daily working hours above. Each person uses their own copy, with a default billable target of 75%.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2. Open a month. Enter customer/project names and hours in the day grid. Set its status to Actual or Forecast when it is ready to report.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 t="str">
        <v>3. Enter company holiday and PTO days below that month’s grid. Fractional days are allowed. Do not count the same absence twice.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4. Keep billable work, concessions/work at risk and overruns in their separate sections. An hour should appear only once.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 t="str">
        <v>Available hours = (scheduled workdays − company holiday days − PTO days) × daily hours. Default workdays are Monday to Friday.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 t="str">
        <v>Quarterly and yearly utilisation = total reported hours ÷ total available hours for the included months. Percentages are not averaged.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 t="str">
        <v>Start a fresh copy for a new year. Changing the year updates dates but does not clear hours. Scheduled workdays can be adjusted on each month.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2:P32"/>
    <mergeCell ref="B33:P33"/>
    <mergeCell ref="B35:P35"/>
    <mergeCell ref="B36:P36"/>
    <mergeCell ref="B37:P37"/>
  </mergeCells>
  <conditionalFormatting sqref="C14:N14">
    <cfRule type="expression" dxfId="0" priority="1">
      <formula>AND(ISNUMBER(C14),C14&gt;=C13)</formula>
    </cfRule>
    <cfRule type="expression" dxfId="1" priority="2">
      <formula>AND(ISNUMBER(C14),C14&lt;C13)</formula>
    </cfRule>
  </conditionalFormatting>
  <conditionalFormatting sqref="C17:N17">
    <cfRule type="containsText" dxfId="2" priority="3" operator="containsText" text="Check"/>
    <cfRule type="containsText" dxfId="3" priority="4" operator="containsText" text="Invalid"/>
    <cfRule type="containsText" dxfId="4" priority="5" operator="containsText" text="Negative"/>
    <cfRule type="containsText" dxfId="5" priority="6" operator="containsText" text="Outside"/>
  </conditionalFormatting>
  <conditionalFormatting sqref="C27:E27">
    <cfRule type="containsText" dxfId="6" priority="7" operator="containsText" text="Check"/>
    <cfRule type="containsText" dxfId="7" priority="8" operator="containsText" text="Invalid"/>
    <cfRule type="containsText" dxfId="8" priority="9" operator="containsText" text="Negative"/>
    <cfRule type="containsText" dxfId="9" priority="10" operator="containsText" text="Outside"/>
  </conditionalFormatting>
  <conditionalFormatting sqref="F27:H27">
    <cfRule type="containsText" dxfId="10" priority="11" operator="containsText" text="Check"/>
    <cfRule type="containsText" dxfId="11" priority="12" operator="containsText" text="Invalid"/>
    <cfRule type="containsText" dxfId="12" priority="13" operator="containsText" text="Negative"/>
    <cfRule type="containsText" dxfId="13" priority="14" operator="containsText" text="Outside"/>
  </conditionalFormatting>
  <conditionalFormatting sqref="I27:K27">
    <cfRule type="containsText" dxfId="14" priority="15" operator="containsText" text="Check"/>
    <cfRule type="containsText" dxfId="15" priority="16" operator="containsText" text="Invalid"/>
    <cfRule type="containsText" dxfId="16" priority="17" operator="containsText" text="Negative"/>
    <cfRule type="containsText" dxfId="17" priority="18" operator="containsText" text="Outside"/>
  </conditionalFormatting>
  <conditionalFormatting sqref="L27:N27">
    <cfRule type="containsText" dxfId="18" priority="19" operator="containsText" text="Check"/>
    <cfRule type="containsText" dxfId="19" priority="20" operator="containsText" text="Invalid"/>
    <cfRule type="containsText" dxfId="20" priority="21" operator="containsText" text="Negative"/>
    <cfRule type="containsText" dxfId="21" priority="22" operator="containsText" text="Outside"/>
  </conditionalFormatting>
  <conditionalFormatting sqref="P27:P27">
    <cfRule type="containsText" dxfId="22" priority="23" operator="containsText" text="Check"/>
    <cfRule type="containsText" dxfId="23" priority="24" operator="containsText" text="Invalid"/>
    <cfRule type="containsText" dxfId="24" priority="25" operator="containsText" text="Negative"/>
    <cfRule type="containsText" dxfId="25" priority="26" operator="containsText" text="Outside"/>
  </conditionalFormatting>
  <dataValidations count="3">
    <dataValidation type="decimal" operator="between" sqref="C5">
      <formula1>0.01</formula1>
      <formula2>24</formula2>
    </dataValidation>
    <dataValidation type="decimal" operator="between" sqref="N4">
      <formula1>0.01</formula1>
      <formula2>1</formula2>
    </dataValidation>
    <dataValidation type="whole" operator="between" sqref="C4">
      <formula1>2000</formula1>
      <formula2>2100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92D7C4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MBO utilisation summary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12" t="n">
        <f>'Billable summary'!C4</f>
        <v>2026</v>
      </c>
      <c r="D4" s="3"/>
      <c r="E4" s="3" t="str">
        <v>Name</v>
      </c>
      <c r="F4" s="213" t="str">
        <f>'Billable summary'!F4</f>
        <v>Enter your name</v>
      </c>
      <c r="G4" s="214"/>
      <c r="H4" s="214"/>
      <c r="I4" s="214"/>
      <c r="J4" s="215"/>
      <c r="K4" s="3"/>
      <c r="L4" s="3" t="str">
        <v>Target</v>
      </c>
      <c r="M4" s="3"/>
      <c r="N4" s="216" t="n">
        <f>'Billable summary'!N4</f>
        <v>0.75</v>
      </c>
      <c r="O4" s="3"/>
      <c r="P4" s="3"/>
      <c r="Q4" s="55"/>
    </row>
    <row r="5" ht="23" customHeight="1">
      <c r="A5" s="3"/>
      <c r="B5" s="3" t="str">
        <v>MBO hours include billable work, concessions, work at risk and project overruns.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MBO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MBO hours</v>
      </c>
      <c r="C12" s="59" t="str">
        <f>IF(OR(C10="Not started",C17&lt;&gt;"OK"),"",'Jan'!U40)</f>
      </c>
      <c r="D12" s="59" t="str">
        <f>IF(OR(D10="Not started",D17&lt;&gt;"OK"),"",'Feb'!U40)</f>
      </c>
      <c r="E12" s="59" t="str">
        <f>IF(OR(E10="Not started",E17&lt;&gt;"OK"),"",'Mar'!U40)</f>
      </c>
      <c r="F12" s="59" t="str">
        <f>IF(OR(F10="Not started",F17&lt;&gt;"OK"),"",'Apr'!U40)</f>
      </c>
      <c r="G12" s="59" t="str">
        <f>IF(OR(G10="Not started",G17&lt;&gt;"OK"),"",'May'!U40)</f>
      </c>
      <c r="H12" s="59" t="str">
        <f>IF(OR(H10="Not started",H17&lt;&gt;"OK"),"",'Jun'!U40)</f>
      </c>
      <c r="I12" s="59" t="str">
        <f>IF(OR(I10="Not started",I17&lt;&gt;"OK"),"",'Jul'!U40)</f>
      </c>
      <c r="J12" s="59" t="str">
        <f>IF(OR(J10="Not started",J17&lt;&gt;"OK"),"",'Aug'!U40)</f>
      </c>
      <c r="K12" s="59" t="str">
        <f>IF(OR(K10="Not started",K17&lt;&gt;"OK"),"",'Sep'!U40)</f>
      </c>
      <c r="L12" s="59" t="str">
        <f>IF(OR(L10="Not started",L17&lt;&gt;"OK"),"",'Oct'!U40)</f>
      </c>
      <c r="M12" s="59" t="str">
        <f>IF(OR(M10="Not started",M17&lt;&gt;"OK"),"",'Nov'!U40)</f>
      </c>
      <c r="N12" s="59" t="str">
        <f>IF(OR(N10="Not started",N17&lt;&gt;"OK"),"",'Dec'!U40)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started",C17&lt;&gt;"OK"),"",'Jan'!U41)</f>
      </c>
      <c r="D14" s="71" t="str">
        <f>IF(OR(D10="Not started",D17&lt;&gt;"OK"),"",'Feb'!U41)</f>
      </c>
      <c r="E14" s="71" t="str">
        <f>IF(OR(E10="Not started",E17&lt;&gt;"OK"),"",'Mar'!U41)</f>
      </c>
      <c r="F14" s="71" t="str">
        <f>IF(OR(F10="Not started",F17&lt;&gt;"OK"),"",'Apr'!U41)</f>
      </c>
      <c r="G14" s="71" t="str">
        <f>IF(OR(G10="Not started",G17&lt;&gt;"OK"),"",'May'!U41)</f>
      </c>
      <c r="H14" s="71" t="str">
        <f>IF(OR(H10="Not started",H17&lt;&gt;"OK"),"",'Jun'!U41)</f>
      </c>
      <c r="I14" s="71" t="str">
        <f>IF(OR(I10="Not started",I17&lt;&gt;"OK"),"",'Jul'!U41)</f>
      </c>
      <c r="J14" s="71" t="str">
        <f>IF(OR(J10="Not started",J17&lt;&gt;"OK"),"",'Aug'!U41)</f>
      </c>
      <c r="K14" s="71" t="str">
        <f>IF(OR(K10="Not started",K17&lt;&gt;"OK"),"",'Sep'!U41)</f>
      </c>
      <c r="L14" s="71" t="str">
        <f>IF(OR(L10="Not started",L17&lt;&gt;"OK"),"",'Oct'!U41)</f>
      </c>
      <c r="M14" s="71" t="str">
        <f>IF(OR(M10="Not started",M17&lt;&gt;"OK"),"",'Nov'!U41)</f>
      </c>
      <c r="N14" s="71" t="str">
        <f>IF(OR(N10="Not started",N17&lt;&gt;"OK"),"",'Dec'!U41)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started",C17&lt;&gt;"OK"),"",'Jan'!U43)</f>
      </c>
      <c r="D15" s="60" t="str">
        <f>IF(OR(D10="Not started",D17&lt;&gt;"OK"),"",'Feb'!U43)</f>
      </c>
      <c r="E15" s="60" t="str">
        <f>IF(OR(E10="Not started",E17&lt;&gt;"OK"),"",'Mar'!U43)</f>
      </c>
      <c r="F15" s="60" t="str">
        <f>IF(OR(F10="Not started",F17&lt;&gt;"OK"),"",'Apr'!U43)</f>
      </c>
      <c r="G15" s="60" t="str">
        <f>IF(OR(G10="Not started",G17&lt;&gt;"OK"),"",'May'!U43)</f>
      </c>
      <c r="H15" s="60" t="str">
        <f>IF(OR(H10="Not started",H17&lt;&gt;"OK"),"",'Jun'!U43)</f>
      </c>
      <c r="I15" s="60" t="str">
        <f>IF(OR(I10="Not started",I17&lt;&gt;"OK"),"",'Jul'!U43)</f>
      </c>
      <c r="J15" s="60" t="str">
        <f>IF(OR(J10="Not started",J17&lt;&gt;"OK"),"",'Aug'!U43)</f>
      </c>
      <c r="K15" s="60" t="str">
        <f>IF(OR(K10="Not started",K17&lt;&gt;"OK"),"",'Sep'!U43)</f>
      </c>
      <c r="L15" s="60" t="str">
        <f>IF(OR(L10="Not started",L17&lt;&gt;"OK"),"",'Oct'!U43)</f>
      </c>
      <c r="M15" s="60" t="str">
        <f>IF(OR(M10="Not started",M17&lt;&gt;"OK"),"",'Nov'!U43)</f>
      </c>
      <c r="N15" s="60" t="str">
        <f>IF(OR(N10="Not started",N17&lt;&gt;"OK"),"",'Dec'!U43)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started",C17&lt;&gt;"OK"),"",'Jan'!U46)</f>
      </c>
      <c r="D16" s="59" t="str">
        <f>IF(OR(D10="Not started",D17&lt;&gt;"OK"),"",'Feb'!U46)</f>
      </c>
      <c r="E16" s="59" t="str">
        <f>IF(OR(E10="Not started",E17&lt;&gt;"OK"),"",'Mar'!U46)</f>
      </c>
      <c r="F16" s="59" t="str">
        <f>IF(OR(F10="Not started",F17&lt;&gt;"OK"),"",'Apr'!U46)</f>
      </c>
      <c r="G16" s="59" t="str">
        <f>IF(OR(G10="Not started",G17&lt;&gt;"OK"),"",'May'!U46)</f>
      </c>
      <c r="H16" s="59" t="str">
        <f>IF(OR(H10="Not started",H17&lt;&gt;"OK"),"",'Jun'!U46)</f>
      </c>
      <c r="I16" s="59" t="str">
        <f>IF(OR(I10="Not started",I17&lt;&gt;"OK"),"",'Jul'!U46)</f>
      </c>
      <c r="J16" s="59" t="str">
        <f>IF(OR(J10="Not started",J17&lt;&gt;"OK"),"",'Aug'!U46)</f>
      </c>
      <c r="K16" s="59" t="str">
        <f>IF(OR(K10="Not started",K17&lt;&gt;"OK"),"",'Sep'!U46)</f>
      </c>
      <c r="L16" s="59" t="str">
        <f>IF(OR(L10="Not started",L17&lt;&gt;"OK"),"",'Oct'!U46)</f>
      </c>
      <c r="M16" s="59" t="str">
        <f>IF(OR(M10="Not started",M17&lt;&gt;"OK"),"",'Nov'!U46)</f>
      </c>
      <c r="N16" s="59" t="str">
        <f>IF(OR(N10="Not started",N17&lt;&gt;"OK"),"",'Dec'!U46)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MBO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MBO includes approved concessions/work at risk and project overruns in addition to billable work.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These extra hours do not count towards the billable utilisation target on Billable summary.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Quarter and year results include only months marked Actual or Forecast with valid inputs. Coverage shows when a forecast is included.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5:N5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3:P33"/>
  </mergeCells>
  <conditionalFormatting sqref="C14:N14">
    <cfRule type="expression" dxfId="26" priority="1">
      <formula>AND(ISNUMBER(C14),C14&gt;=C13)</formula>
    </cfRule>
    <cfRule type="expression" dxfId="27" priority="2">
      <formula>AND(ISNUMBER(C14),C14&lt;C13)</formula>
    </cfRule>
  </conditionalFormatting>
  <conditionalFormatting sqref="C17:N17">
    <cfRule type="containsText" dxfId="28" priority="3" operator="containsText" text="Check"/>
    <cfRule type="containsText" dxfId="29" priority="4" operator="containsText" text="Invalid"/>
    <cfRule type="containsText" dxfId="30" priority="5" operator="containsText" text="Negative"/>
    <cfRule type="containsText" dxfId="31" priority="6" operator="containsText" text="Outside"/>
  </conditionalFormatting>
  <conditionalFormatting sqref="C27:E27">
    <cfRule type="containsText" dxfId="32" priority="7" operator="containsText" text="Check"/>
    <cfRule type="containsText" dxfId="33" priority="8" operator="containsText" text="Invalid"/>
    <cfRule type="containsText" dxfId="34" priority="9" operator="containsText" text="Negative"/>
    <cfRule type="containsText" dxfId="35" priority="10" operator="containsText" text="Outside"/>
  </conditionalFormatting>
  <conditionalFormatting sqref="F27:H27">
    <cfRule type="containsText" dxfId="36" priority="11" operator="containsText" text="Check"/>
    <cfRule type="containsText" dxfId="37" priority="12" operator="containsText" text="Invalid"/>
    <cfRule type="containsText" dxfId="38" priority="13" operator="containsText" text="Negative"/>
    <cfRule type="containsText" dxfId="39" priority="14" operator="containsText" text="Outside"/>
  </conditionalFormatting>
  <conditionalFormatting sqref="I27:K27">
    <cfRule type="containsText" dxfId="40" priority="15" operator="containsText" text="Check"/>
    <cfRule type="containsText" dxfId="41" priority="16" operator="containsText" text="Invalid"/>
    <cfRule type="containsText" dxfId="42" priority="17" operator="containsText" text="Negative"/>
    <cfRule type="containsText" dxfId="43" priority="18" operator="containsText" text="Outside"/>
  </conditionalFormatting>
  <conditionalFormatting sqref="L27:N27">
    <cfRule type="containsText" dxfId="44" priority="19" operator="containsText" text="Check"/>
    <cfRule type="containsText" dxfId="45" priority="20" operator="containsText" text="Invalid"/>
    <cfRule type="containsText" dxfId="46" priority="21" operator="containsText" text="Negative"/>
    <cfRule type="containsText" dxfId="47" priority="22" operator="containsText" text="Outside"/>
  </conditionalFormatting>
  <conditionalFormatting sqref="P27:P27">
    <cfRule type="containsText" dxfId="48" priority="23" operator="containsText" text="Check"/>
    <cfRule type="containsText" dxfId="49" priority="24" operator="containsText" text="Invalid"/>
    <cfRule type="containsText" dxfId="50" priority="25" operator="containsText" text="Negative"/>
    <cfRule type="containsText" dxfId="51" priority="26" operator="containsText" text="Outside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summary'!$C$4,1,1),"mmmm yyyy")</f>
        <v>January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summary'!$C$4,2,0)),DATE('Billable summary'!$C$4,1,1),"")</f>
        <v>46023</v>
      </c>
      <c r="D5" s="48" t="n">
        <f>IF(2&lt;=DAY(DATE('Billable summary'!$C$4,2,0)),DATE('Billable summary'!$C$4,1,2),"")</f>
        <v>46024</v>
      </c>
      <c r="E5" s="48" t="n">
        <f>IF(3&lt;=DAY(DATE('Billable summary'!$C$4,2,0)),DATE('Billable summary'!$C$4,1,3),"")</f>
        <v>46025</v>
      </c>
      <c r="F5" s="48" t="n">
        <f>IF(4&lt;=DAY(DATE('Billable summary'!$C$4,2,0)),DATE('Billable summary'!$C$4,1,4),"")</f>
        <v>46026</v>
      </c>
      <c r="G5" s="48" t="n">
        <f>IF(5&lt;=DAY(DATE('Billable summary'!$C$4,2,0)),DATE('Billable summary'!$C$4,1,5),"")</f>
        <v>46027</v>
      </c>
      <c r="H5" s="48" t="n">
        <f>IF(6&lt;=DAY(DATE('Billable summary'!$C$4,2,0)),DATE('Billable summary'!$C$4,1,6),"")</f>
        <v>46028</v>
      </c>
      <c r="I5" s="48" t="n">
        <f>IF(7&lt;=DAY(DATE('Billable summary'!$C$4,2,0)),DATE('Billable summary'!$C$4,1,7),"")</f>
        <v>46029</v>
      </c>
      <c r="J5" s="48" t="n">
        <f>IF(8&lt;=DAY(DATE('Billable summary'!$C$4,2,0)),DATE('Billable summary'!$C$4,1,8),"")</f>
        <v>46030</v>
      </c>
      <c r="K5" s="48" t="n">
        <f>IF(9&lt;=DAY(DATE('Billable summary'!$C$4,2,0)),DATE('Billable summary'!$C$4,1,9),"")</f>
        <v>46031</v>
      </c>
      <c r="L5" s="48" t="n">
        <f>IF(10&lt;=DAY(DATE('Billable summary'!$C$4,2,0)),DATE('Billable summary'!$C$4,1,10),"")</f>
        <v>46032</v>
      </c>
      <c r="M5" s="48" t="n">
        <f>IF(11&lt;=DAY(DATE('Billable summary'!$C$4,2,0)),DATE('Billable summary'!$C$4,1,11),"")</f>
        <v>46033</v>
      </c>
      <c r="N5" s="48" t="n">
        <f>IF(12&lt;=DAY(DATE('Billable summary'!$C$4,2,0)),DATE('Billable summary'!$C$4,1,12),"")</f>
        <v>46034</v>
      </c>
      <c r="O5" s="48" t="n">
        <f>IF(13&lt;=DAY(DATE('Billable summary'!$C$4,2,0)),DATE('Billable summary'!$C$4,1,13),"")</f>
        <v>46035</v>
      </c>
      <c r="P5" s="48" t="n">
        <f>IF(14&lt;=DAY(DATE('Billable summary'!$C$4,2,0)),DATE('Billable summary'!$C$4,1,14),"")</f>
        <v>46036</v>
      </c>
      <c r="Q5" s="48" t="n">
        <f>IF(15&lt;=DAY(DATE('Billable summary'!$C$4,2,0)),DATE('Billable summary'!$C$4,1,15),"")</f>
        <v>46037</v>
      </c>
      <c r="R5" s="48" t="n">
        <f>IF(16&lt;=DAY(DATE('Billable summary'!$C$4,2,0)),DATE('Billable summary'!$C$4,1,16),"")</f>
        <v>46038</v>
      </c>
      <c r="S5" s="48" t="n">
        <f>IF(17&lt;=DAY(DATE('Billable summary'!$C$4,2,0)),DATE('Billable summary'!$C$4,1,17),"")</f>
        <v>46039</v>
      </c>
      <c r="T5" s="48" t="n">
        <f>IF(18&lt;=DAY(DATE('Billable summary'!$C$4,2,0)),DATE('Billable summary'!$C$4,1,18),"")</f>
        <v>46040</v>
      </c>
      <c r="U5" s="48" t="n">
        <f>IF(19&lt;=DAY(DATE('Billable summary'!$C$4,2,0)),DATE('Billable summary'!$C$4,1,19),"")</f>
        <v>46041</v>
      </c>
      <c r="V5" s="48" t="n">
        <f>IF(20&lt;=DAY(DATE('Billable summary'!$C$4,2,0)),DATE('Billable summary'!$C$4,1,20),"")</f>
        <v>46042</v>
      </c>
      <c r="W5" s="48" t="n">
        <f>IF(21&lt;=DAY(DATE('Billable summary'!$C$4,2,0)),DATE('Billable summary'!$C$4,1,21),"")</f>
        <v>46043</v>
      </c>
      <c r="X5" s="48" t="n">
        <f>IF(22&lt;=DAY(DATE('Billable summary'!$C$4,2,0)),DATE('Billable summary'!$C$4,1,22),"")</f>
        <v>46044</v>
      </c>
      <c r="Y5" s="48" t="n">
        <f>IF(23&lt;=DAY(DATE('Billable summary'!$C$4,2,0)),DATE('Billable summary'!$C$4,1,23),"")</f>
        <v>46045</v>
      </c>
      <c r="Z5" s="48" t="n">
        <f>IF(24&lt;=DAY(DATE('Billable summary'!$C$4,2,0)),DATE('Billable summary'!$C$4,1,24),"")</f>
        <v>46046</v>
      </c>
      <c r="AA5" s="48" t="n">
        <f>IF(25&lt;=DAY(DATE('Billable summary'!$C$4,2,0)),DATE('Billable summary'!$C$4,1,25),"")</f>
        <v>46047</v>
      </c>
      <c r="AB5" s="48" t="n">
        <f>IF(26&lt;=DAY(DATE('Billable summary'!$C$4,2,0)),DATE('Billable summary'!$C$4,1,26),"")</f>
        <v>46048</v>
      </c>
      <c r="AC5" s="48" t="n">
        <f>IF(27&lt;=DAY(DATE('Billable summary'!$C$4,2,0)),DATE('Billable summary'!$C$4,1,27),"")</f>
        <v>46049</v>
      </c>
      <c r="AD5" s="48" t="n">
        <f>IF(28&lt;=DAY(DATE('Billable summary'!$C$4,2,0)),DATE('Billable summary'!$C$4,1,28),"")</f>
        <v>46050</v>
      </c>
      <c r="AE5" s="48" t="n">
        <f>IF(29&lt;=DAY(DATE('Billable summary'!$C$4,2,0)),DATE('Billable summary'!$C$4,1,29),"")</f>
        <v>46051</v>
      </c>
      <c r="AF5" s="48" t="n">
        <f>IF(30&lt;=DAY(DATE('Billable summary'!$C$4,2,0)),DATE('Billable summary'!$C$4,1,30),"")</f>
        <v>46052</v>
      </c>
      <c r="AG5" s="48" t="n">
        <f>IF(31&lt;=DAY(DATE('Billable summary'!$C$4,2,0)),DATE('Billable summary'!$C$4,1,31),"")</f>
        <v>46053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46023</v>
      </c>
      <c r="D6" s="142" t="n">
        <f>IF(D$5="","",D$5)</f>
        <v>46024</v>
      </c>
      <c r="E6" s="142" t="n">
        <f>IF(E$5="","",E$5)</f>
        <v>46025</v>
      </c>
      <c r="F6" s="142" t="n">
        <f>IF(F$5="","",F$5)</f>
        <v>46026</v>
      </c>
      <c r="G6" s="142" t="n">
        <f>IF(G$5="","",G$5)</f>
        <v>46027</v>
      </c>
      <c r="H6" s="142" t="n">
        <f>IF(H$5="","",H$5)</f>
        <v>46028</v>
      </c>
      <c r="I6" s="142" t="n">
        <f>IF(I$5="","",I$5)</f>
        <v>46029</v>
      </c>
      <c r="J6" s="142" t="n">
        <f>IF(J$5="","",J$5)</f>
        <v>46030</v>
      </c>
      <c r="K6" s="142" t="n">
        <f>IF(K$5="","",K$5)</f>
        <v>46031</v>
      </c>
      <c r="L6" s="142" t="n">
        <f>IF(L$5="","",L$5)</f>
        <v>46032</v>
      </c>
      <c r="M6" s="142" t="n">
        <f>IF(M$5="","",M$5)</f>
        <v>46033</v>
      </c>
      <c r="N6" s="142" t="n">
        <f>IF(N$5="","",N$5)</f>
        <v>46034</v>
      </c>
      <c r="O6" s="142" t="n">
        <f>IF(O$5="","",O$5)</f>
        <v>46035</v>
      </c>
      <c r="P6" s="142" t="n">
        <f>IF(P$5="","",P$5)</f>
        <v>46036</v>
      </c>
      <c r="Q6" s="142" t="n">
        <f>IF(Q$5="","",Q$5)</f>
        <v>46037</v>
      </c>
      <c r="R6" s="142" t="n">
        <f>IF(R$5="","",R$5)</f>
        <v>46038</v>
      </c>
      <c r="S6" s="142" t="n">
        <f>IF(S$5="","",S$5)</f>
        <v>46039</v>
      </c>
      <c r="T6" s="142" t="n">
        <f>IF(T$5="","",T$5)</f>
        <v>46040</v>
      </c>
      <c r="U6" s="142" t="n">
        <f>IF(U$5="","",U$5)</f>
        <v>46041</v>
      </c>
      <c r="V6" s="142" t="n">
        <f>IF(V$5="","",V$5)</f>
        <v>46042</v>
      </c>
      <c r="W6" s="142" t="n">
        <f>IF(W$5="","",W$5)</f>
        <v>46043</v>
      </c>
      <c r="X6" s="142" t="n">
        <f>IF(X$5="","",X$5)</f>
        <v>46044</v>
      </c>
      <c r="Y6" s="142" t="n">
        <f>IF(Y$5="","",Y$5)</f>
        <v>46045</v>
      </c>
      <c r="Z6" s="142" t="n">
        <f>IF(Z$5="","",Z$5)</f>
        <v>46046</v>
      </c>
      <c r="AA6" s="142" t="n">
        <f>IF(AA$5="","",AA$5)</f>
        <v>46047</v>
      </c>
      <c r="AB6" s="142" t="n">
        <f>IF(AB$5="","",AB$5)</f>
        <v>46048</v>
      </c>
      <c r="AC6" s="142" t="n">
        <f>IF(AC$5="","",AC$5)</f>
        <v>46049</v>
      </c>
      <c r="AD6" s="142" t="n">
        <f>IF(AD$5="","",AD$5)</f>
        <v>46050</v>
      </c>
      <c r="AE6" s="142" t="n">
        <f>IF(AE$5="","",AE$5)</f>
        <v>46051</v>
      </c>
      <c r="AF6" s="142" t="n">
        <f>IF(AF$5="","",AF$5)</f>
        <v>46052</v>
      </c>
      <c r="AG6" s="142" t="n">
        <f>IF(AG$5="","",AG$5)</f>
        <v>46053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46023</v>
      </c>
      <c r="D19" s="142" t="n">
        <f>IF(D$5="","",D$5)</f>
        <v>46024</v>
      </c>
      <c r="E19" s="142" t="n">
        <f>IF(E$5="","",E$5)</f>
        <v>46025</v>
      </c>
      <c r="F19" s="142" t="n">
        <f>IF(F$5="","",F$5)</f>
        <v>46026</v>
      </c>
      <c r="G19" s="142" t="n">
        <f>IF(G$5="","",G$5)</f>
        <v>46027</v>
      </c>
      <c r="H19" s="142" t="n">
        <f>IF(H$5="","",H$5)</f>
        <v>46028</v>
      </c>
      <c r="I19" s="142" t="n">
        <f>IF(I$5="","",I$5)</f>
        <v>46029</v>
      </c>
      <c r="J19" s="142" t="n">
        <f>IF(J$5="","",J$5)</f>
        <v>46030</v>
      </c>
      <c r="K19" s="142" t="n">
        <f>IF(K$5="","",K$5)</f>
        <v>46031</v>
      </c>
      <c r="L19" s="142" t="n">
        <f>IF(L$5="","",L$5)</f>
        <v>46032</v>
      </c>
      <c r="M19" s="142" t="n">
        <f>IF(M$5="","",M$5)</f>
        <v>46033</v>
      </c>
      <c r="N19" s="142" t="n">
        <f>IF(N$5="","",N$5)</f>
        <v>46034</v>
      </c>
      <c r="O19" s="142" t="n">
        <f>IF(O$5="","",O$5)</f>
        <v>46035</v>
      </c>
      <c r="P19" s="142" t="n">
        <f>IF(P$5="","",P$5)</f>
        <v>46036</v>
      </c>
      <c r="Q19" s="142" t="n">
        <f>IF(Q$5="","",Q$5)</f>
        <v>46037</v>
      </c>
      <c r="R19" s="142" t="n">
        <f>IF(R$5="","",R$5)</f>
        <v>46038</v>
      </c>
      <c r="S19" s="142" t="n">
        <f>IF(S$5="","",S$5)</f>
        <v>46039</v>
      </c>
      <c r="T19" s="142" t="n">
        <f>IF(T$5="","",T$5)</f>
        <v>46040</v>
      </c>
      <c r="U19" s="142" t="n">
        <f>IF(U$5="","",U$5)</f>
        <v>46041</v>
      </c>
      <c r="V19" s="142" t="n">
        <f>IF(V$5="","",V$5)</f>
        <v>46042</v>
      </c>
      <c r="W19" s="142" t="n">
        <f>IF(W$5="","",W$5)</f>
        <v>46043</v>
      </c>
      <c r="X19" s="142" t="n">
        <f>IF(X$5="","",X$5)</f>
        <v>46044</v>
      </c>
      <c r="Y19" s="142" t="n">
        <f>IF(Y$5="","",Y$5)</f>
        <v>46045</v>
      </c>
      <c r="Z19" s="142" t="n">
        <f>IF(Z$5="","",Z$5)</f>
        <v>46046</v>
      </c>
      <c r="AA19" s="142" t="n">
        <f>IF(AA$5="","",AA$5)</f>
        <v>46047</v>
      </c>
      <c r="AB19" s="142" t="n">
        <f>IF(AB$5="","",AB$5)</f>
        <v>46048</v>
      </c>
      <c r="AC19" s="142" t="n">
        <f>IF(AC$5="","",AC$5)</f>
        <v>46049</v>
      </c>
      <c r="AD19" s="142" t="n">
        <f>IF(AD$5="","",AD$5)</f>
        <v>46050</v>
      </c>
      <c r="AE19" s="142" t="n">
        <f>IF(AE$5="","",AE$5)</f>
        <v>46051</v>
      </c>
      <c r="AF19" s="142" t="n">
        <f>IF(AF$5="","",AF$5)</f>
        <v>46052</v>
      </c>
      <c r="AG19" s="142" t="n">
        <f>IF(AG$5="","",AG$5)</f>
        <v>46053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46023</v>
      </c>
      <c r="D30" s="48" t="n">
        <f>IF(D$5="","",D$5)</f>
        <v>46024</v>
      </c>
      <c r="E30" s="48" t="n">
        <f>IF(E$5="","",E$5)</f>
        <v>46025</v>
      </c>
      <c r="F30" s="48" t="n">
        <f>IF(F$5="","",F$5)</f>
        <v>46026</v>
      </c>
      <c r="G30" s="48" t="n">
        <f>IF(G$5="","",G$5)</f>
        <v>46027</v>
      </c>
      <c r="H30" s="48" t="n">
        <f>IF(H$5="","",H$5)</f>
        <v>46028</v>
      </c>
      <c r="I30" s="48" t="n">
        <f>IF(I$5="","",I$5)</f>
        <v>46029</v>
      </c>
      <c r="J30" s="48" t="n">
        <f>IF(J$5="","",J$5)</f>
        <v>46030</v>
      </c>
      <c r="K30" s="48" t="n">
        <f>IF(K$5="","",K$5)</f>
        <v>46031</v>
      </c>
      <c r="L30" s="48" t="n">
        <f>IF(L$5="","",L$5)</f>
        <v>46032</v>
      </c>
      <c r="M30" s="48" t="n">
        <f>IF(M$5="","",M$5)</f>
        <v>46033</v>
      </c>
      <c r="N30" s="48" t="n">
        <f>IF(N$5="","",N$5)</f>
        <v>46034</v>
      </c>
      <c r="O30" s="48" t="n">
        <f>IF(O$5="","",O$5)</f>
        <v>46035</v>
      </c>
      <c r="P30" s="48" t="n">
        <f>IF(P$5="","",P$5)</f>
        <v>46036</v>
      </c>
      <c r="Q30" s="48" t="n">
        <f>IF(Q$5="","",Q$5)</f>
        <v>46037</v>
      </c>
      <c r="R30" s="48" t="n">
        <f>IF(R$5="","",R$5)</f>
        <v>46038</v>
      </c>
      <c r="S30" s="48" t="n">
        <f>IF(S$5="","",S$5)</f>
        <v>46039</v>
      </c>
      <c r="T30" s="48" t="n">
        <f>IF(T$5="","",T$5)</f>
        <v>46040</v>
      </c>
      <c r="U30" s="48" t="n">
        <f>IF(U$5="","",U$5)</f>
        <v>46041</v>
      </c>
      <c r="V30" s="48" t="n">
        <f>IF(V$5="","",V$5)</f>
        <v>46042</v>
      </c>
      <c r="W30" s="48" t="n">
        <f>IF(W$5="","",W$5)</f>
        <v>46043</v>
      </c>
      <c r="X30" s="48" t="n">
        <f>IF(X$5="","",X$5)</f>
        <v>46044</v>
      </c>
      <c r="Y30" s="48" t="n">
        <f>IF(Y$5="","",Y$5)</f>
        <v>46045</v>
      </c>
      <c r="Z30" s="48" t="n">
        <f>IF(Z$5="","",Z$5)</f>
        <v>46046</v>
      </c>
      <c r="AA30" s="48" t="n">
        <f>IF(AA$5="","",AA$5)</f>
        <v>46047</v>
      </c>
      <c r="AB30" s="48" t="n">
        <f>IF(AB$5="","",AB$5)</f>
        <v>46048</v>
      </c>
      <c r="AC30" s="48" t="n">
        <f>IF(AC$5="","",AC$5)</f>
        <v>46049</v>
      </c>
      <c r="AD30" s="48" t="n">
        <f>IF(AD$5="","",AD$5)</f>
        <v>46050</v>
      </c>
      <c r="AE30" s="48" t="n">
        <f>IF(AE$5="","",AE$5)</f>
        <v>46051</v>
      </c>
      <c r="AF30" s="48" t="n">
        <f>IF(AF$5="","",AF$5)</f>
        <v>46052</v>
      </c>
      <c r="AG30" s="48" t="n">
        <f>IF(AG$5="","",AG$5)</f>
        <v>46053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46023</v>
      </c>
      <c r="D31" s="142" t="n">
        <f>IF(D$5="","",D$5)</f>
        <v>46024</v>
      </c>
      <c r="E31" s="142" t="n">
        <f>IF(E$5="","",E$5)</f>
        <v>46025</v>
      </c>
      <c r="F31" s="142" t="n">
        <f>IF(F$5="","",F$5)</f>
        <v>46026</v>
      </c>
      <c r="G31" s="142" t="n">
        <f>IF(G$5="","",G$5)</f>
        <v>46027</v>
      </c>
      <c r="H31" s="142" t="n">
        <f>IF(H$5="","",H$5)</f>
        <v>46028</v>
      </c>
      <c r="I31" s="142" t="n">
        <f>IF(I$5="","",I$5)</f>
        <v>46029</v>
      </c>
      <c r="J31" s="142" t="n">
        <f>IF(J$5="","",J$5)</f>
        <v>46030</v>
      </c>
      <c r="K31" s="142" t="n">
        <f>IF(K$5="","",K$5)</f>
        <v>46031</v>
      </c>
      <c r="L31" s="142" t="n">
        <f>IF(L$5="","",L$5)</f>
        <v>46032</v>
      </c>
      <c r="M31" s="142" t="n">
        <f>IF(M$5="","",M$5)</f>
        <v>46033</v>
      </c>
      <c r="N31" s="142" t="n">
        <f>IF(N$5="","",N$5)</f>
        <v>46034</v>
      </c>
      <c r="O31" s="142" t="n">
        <f>IF(O$5="","",O$5)</f>
        <v>46035</v>
      </c>
      <c r="P31" s="142" t="n">
        <f>IF(P$5="","",P$5)</f>
        <v>46036</v>
      </c>
      <c r="Q31" s="142" t="n">
        <f>IF(Q$5="","",Q$5)</f>
        <v>46037</v>
      </c>
      <c r="R31" s="142" t="n">
        <f>IF(R$5="","",R$5)</f>
        <v>46038</v>
      </c>
      <c r="S31" s="142" t="n">
        <f>IF(S$5="","",S$5)</f>
        <v>46039</v>
      </c>
      <c r="T31" s="142" t="n">
        <f>IF(T$5="","",T$5)</f>
        <v>46040</v>
      </c>
      <c r="U31" s="142" t="n">
        <f>IF(U$5="","",U$5)</f>
        <v>46041</v>
      </c>
      <c r="V31" s="142" t="n">
        <f>IF(V$5="","",V$5)</f>
        <v>46042</v>
      </c>
      <c r="W31" s="142" t="n">
        <f>IF(W$5="","",W$5)</f>
        <v>46043</v>
      </c>
      <c r="X31" s="142" t="n">
        <f>IF(X$5="","",X$5)</f>
        <v>46044</v>
      </c>
      <c r="Y31" s="142" t="n">
        <f>IF(Y$5="","",Y$5)</f>
        <v>46045</v>
      </c>
      <c r="Z31" s="142" t="n">
        <f>IF(Z$5="","",Z$5)</f>
        <v>46046</v>
      </c>
      <c r="AA31" s="142" t="n">
        <f>IF(AA$5="","",AA$5)</f>
        <v>46047</v>
      </c>
      <c r="AB31" s="142" t="n">
        <f>IF(AB$5="","",AB$5)</f>
        <v>46048</v>
      </c>
      <c r="AC31" s="142" t="n">
        <f>IF(AC$5="","",AC$5)</f>
        <v>46049</v>
      </c>
      <c r="AD31" s="142" t="n">
        <f>IF(AD$5="","",AD$5)</f>
        <v>46050</v>
      </c>
      <c r="AE31" s="142" t="n">
        <f>IF(AE$5="","",AE$5)</f>
        <v>46051</v>
      </c>
      <c r="AF31" s="142" t="n">
        <f>IF(AF$5="","",AF$5)</f>
        <v>46052</v>
      </c>
      <c r="AG31" s="142" t="n">
        <f>IF(AG$5="","",AG$5)</f>
        <v>46053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summary'!$C$4,1,1),DATE('Billable summary'!$C$4,2,0))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52" priority="1">
      <formula>OR(C$5="",WEEKDAY(C$5,2)&gt;5)</formula>
    </cfRule>
    <cfRule type="expression" dxfId="53" priority="2">
      <formula>AND(C$5="",NOT(ISBLANK(C7)))</formula>
    </cfRule>
  </conditionalFormatting>
  <conditionalFormatting sqref="C20:AG25">
    <cfRule type="expression" dxfId="54" priority="3">
      <formula>OR(C$5="",WEEKDAY(C$5,2)&gt;5)</formula>
    </cfRule>
    <cfRule type="expression" dxfId="55" priority="4">
      <formula>AND(C$5="",NOT(ISBLANK(C20)))</formula>
    </cfRule>
  </conditionalFormatting>
  <conditionalFormatting sqref="C32:AG35">
    <cfRule type="expression" dxfId="56" priority="5">
      <formula>OR(C$5="",WEEKDAY(C$5,2)&gt;5)</formula>
    </cfRule>
    <cfRule type="expression" dxfId="57" priority="6">
      <formula>AND(C$5="",NOT(ISBLANK(C32)))</formula>
    </cfRule>
  </conditionalFormatting>
  <conditionalFormatting sqref="I43:K43">
    <cfRule type="expression" dxfId="58" priority="7">
      <formula>AND(ISNUMBER($I$43),$I$43&gt;=$I$44)</formula>
    </cfRule>
    <cfRule type="expression" dxfId="59" priority="8">
      <formula>AND(ISNUMBER($I$43),$I$43&lt;$I$44)</formula>
    </cfRule>
  </conditionalFormatting>
  <conditionalFormatting sqref="B51:AH51">
    <cfRule type="containsText" dxfId="60" priority="9" operator="containsText" text="Check"/>
    <cfRule type="containsText" dxfId="61" priority="10" operator="containsText" text="Invalid"/>
    <cfRule type="containsText" dxfId="62" priority="11" operator="containsText" text="Negative"/>
    <cfRule type="containsText" dxfId="6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summary'!$C$4,2,1),"mmmm yyyy")</f>
        <v>February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summary'!$C$4,3,0)),DATE('Billable summary'!$C$4,2,1),"")</f>
        <v>46054</v>
      </c>
      <c r="D5" s="48" t="n">
        <f>IF(2&lt;=DAY(DATE('Billable summary'!$C$4,3,0)),DATE('Billable summary'!$C$4,2,2),"")</f>
        <v>46055</v>
      </c>
      <c r="E5" s="48" t="n">
        <f>IF(3&lt;=DAY(DATE('Billable summary'!$C$4,3,0)),DATE('Billable summary'!$C$4,2,3),"")</f>
        <v>46056</v>
      </c>
      <c r="F5" s="48" t="n">
        <f>IF(4&lt;=DAY(DATE('Billable summary'!$C$4,3,0)),DATE('Billable summary'!$C$4,2,4),"")</f>
        <v>46057</v>
      </c>
      <c r="G5" s="48" t="n">
        <f>IF(5&lt;=DAY(DATE('Billable summary'!$C$4,3,0)),DATE('Billable summary'!$C$4,2,5),"")</f>
        <v>46058</v>
      </c>
      <c r="H5" s="48" t="n">
        <f>IF(6&lt;=DAY(DATE('Billable summary'!$C$4,3,0)),DATE('Billable summary'!$C$4,2,6),"")</f>
        <v>46059</v>
      </c>
      <c r="I5" s="48" t="n">
        <f>IF(7&lt;=DAY(DATE('Billable summary'!$C$4,3,0)),DATE('Billable summary'!$C$4,2,7),"")</f>
        <v>46060</v>
      </c>
      <c r="J5" s="48" t="n">
        <f>IF(8&lt;=DAY(DATE('Billable summary'!$C$4,3,0)),DATE('Billable summary'!$C$4,2,8),"")</f>
        <v>46061</v>
      </c>
      <c r="K5" s="48" t="n">
        <f>IF(9&lt;=DAY(DATE('Billable summary'!$C$4,3,0)),DATE('Billable summary'!$C$4,2,9),"")</f>
        <v>46062</v>
      </c>
      <c r="L5" s="48" t="n">
        <f>IF(10&lt;=DAY(DATE('Billable summary'!$C$4,3,0)),DATE('Billable summary'!$C$4,2,10),"")</f>
        <v>46063</v>
      </c>
      <c r="M5" s="48" t="n">
        <f>IF(11&lt;=DAY(DATE('Billable summary'!$C$4,3,0)),DATE('Billable summary'!$C$4,2,11),"")</f>
        <v>46064</v>
      </c>
      <c r="N5" s="48" t="n">
        <f>IF(12&lt;=DAY(DATE('Billable summary'!$C$4,3,0)),DATE('Billable summary'!$C$4,2,12),"")</f>
        <v>46065</v>
      </c>
      <c r="O5" s="48" t="n">
        <f>IF(13&lt;=DAY(DATE('Billable summary'!$C$4,3,0)),DATE('Billable summary'!$C$4,2,13),"")</f>
        <v>46066</v>
      </c>
      <c r="P5" s="48" t="n">
        <f>IF(14&lt;=DAY(DATE('Billable summary'!$C$4,3,0)),DATE('Billable summary'!$C$4,2,14),"")</f>
        <v>46067</v>
      </c>
      <c r="Q5" s="48" t="n">
        <f>IF(15&lt;=DAY(DATE('Billable summary'!$C$4,3,0)),DATE('Billable summary'!$C$4,2,15),"")</f>
        <v>46068</v>
      </c>
      <c r="R5" s="48" t="n">
        <f>IF(16&lt;=DAY(DATE('Billable summary'!$C$4,3,0)),DATE('Billable summary'!$C$4,2,16),"")</f>
        <v>46069</v>
      </c>
      <c r="S5" s="48" t="n">
        <f>IF(17&lt;=DAY(DATE('Billable summary'!$C$4,3,0)),DATE('Billable summary'!$C$4,2,17),"")</f>
        <v>46070</v>
      </c>
      <c r="T5" s="48" t="n">
        <f>IF(18&lt;=DAY(DATE('Billable summary'!$C$4,3,0)),DATE('Billable summary'!$C$4,2,18),"")</f>
        <v>46071</v>
      </c>
      <c r="U5" s="48" t="n">
        <f>IF(19&lt;=DAY(DATE('Billable summary'!$C$4,3,0)),DATE('Billable summary'!$C$4,2,19),"")</f>
        <v>46072</v>
      </c>
      <c r="V5" s="48" t="n">
        <f>IF(20&lt;=DAY(DATE('Billable summary'!$C$4,3,0)),DATE('Billable summary'!$C$4,2,20),"")</f>
        <v>46073</v>
      </c>
      <c r="W5" s="48" t="n">
        <f>IF(21&lt;=DAY(DATE('Billable summary'!$C$4,3,0)),DATE('Billable summary'!$C$4,2,21),"")</f>
        <v>46074</v>
      </c>
      <c r="X5" s="48" t="n">
        <f>IF(22&lt;=DAY(DATE('Billable summary'!$C$4,3,0)),DATE('Billable summary'!$C$4,2,22),"")</f>
        <v>46075</v>
      </c>
      <c r="Y5" s="48" t="n">
        <f>IF(23&lt;=DAY(DATE('Billable summary'!$C$4,3,0)),DATE('Billable summary'!$C$4,2,23),"")</f>
        <v>46076</v>
      </c>
      <c r="Z5" s="48" t="n">
        <f>IF(24&lt;=DAY(DATE('Billable summary'!$C$4,3,0)),DATE('Billable summary'!$C$4,2,24),"")</f>
        <v>46077</v>
      </c>
      <c r="AA5" s="48" t="n">
        <f>IF(25&lt;=DAY(DATE('Billable summary'!$C$4,3,0)),DATE('Billable summary'!$C$4,2,25),"")</f>
        <v>46078</v>
      </c>
      <c r="AB5" s="48" t="n">
        <f>IF(26&lt;=DAY(DATE('Billable summary'!$C$4,3,0)),DATE('Billable summary'!$C$4,2,26),"")</f>
        <v>46079</v>
      </c>
      <c r="AC5" s="48" t="n">
        <f>IF(27&lt;=DAY(DATE('Billable summary'!$C$4,3,0)),DATE('Billable summary'!$C$4,2,27),"")</f>
        <v>46080</v>
      </c>
      <c r="AD5" s="48" t="n">
        <f>IF(28&lt;=DAY(DATE('Billable summary'!$C$4,3,0)),DATE('Billable summary'!$C$4,2,28),"")</f>
        <v>46081</v>
      </c>
      <c r="AE5" s="48" t="str">
        <f>IF(29&lt;=DAY(DATE('Billable summary'!$C$4,3,0)),DATE('Billable summary'!$C$4,2,29),"")</f>
      </c>
      <c r="AF5" s="48" t="str">
        <f>IF(30&lt;=DAY(DATE('Billable summary'!$C$4,3,0)),DATE('Billable summary'!$C$4,2,30),"")</f>
      </c>
      <c r="AG5" s="48" t="str">
        <f>IF(31&lt;=DAY(DATE('Billable summary'!$C$4,3,0)),DATE('Billable summary'!$C$4,2,31),"")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46054</v>
      </c>
      <c r="D6" s="142" t="n">
        <f>IF(D$5="","",D$5)</f>
        <v>46055</v>
      </c>
      <c r="E6" s="142" t="n">
        <f>IF(E$5="","",E$5)</f>
        <v>46056</v>
      </c>
      <c r="F6" s="142" t="n">
        <f>IF(F$5="","",F$5)</f>
        <v>46057</v>
      </c>
      <c r="G6" s="142" t="n">
        <f>IF(G$5="","",G$5)</f>
        <v>46058</v>
      </c>
      <c r="H6" s="142" t="n">
        <f>IF(H$5="","",H$5)</f>
        <v>46059</v>
      </c>
      <c r="I6" s="142" t="n">
        <f>IF(I$5="","",I$5)</f>
        <v>46060</v>
      </c>
      <c r="J6" s="142" t="n">
        <f>IF(J$5="","",J$5)</f>
        <v>46061</v>
      </c>
      <c r="K6" s="142" t="n">
        <f>IF(K$5="","",K$5)</f>
        <v>46062</v>
      </c>
      <c r="L6" s="142" t="n">
        <f>IF(L$5="","",L$5)</f>
        <v>46063</v>
      </c>
      <c r="M6" s="142" t="n">
        <f>IF(M$5="","",M$5)</f>
        <v>46064</v>
      </c>
      <c r="N6" s="142" t="n">
        <f>IF(N$5="","",N$5)</f>
        <v>46065</v>
      </c>
      <c r="O6" s="142" t="n">
        <f>IF(O$5="","",O$5)</f>
        <v>46066</v>
      </c>
      <c r="P6" s="142" t="n">
        <f>IF(P$5="","",P$5)</f>
        <v>46067</v>
      </c>
      <c r="Q6" s="142" t="n">
        <f>IF(Q$5="","",Q$5)</f>
        <v>46068</v>
      </c>
      <c r="R6" s="142" t="n">
        <f>IF(R$5="","",R$5)</f>
        <v>46069</v>
      </c>
      <c r="S6" s="142" t="n">
        <f>IF(S$5="","",S$5)</f>
        <v>46070</v>
      </c>
      <c r="T6" s="142" t="n">
        <f>IF(T$5="","",T$5)</f>
        <v>46071</v>
      </c>
      <c r="U6" s="142" t="n">
        <f>IF(U$5="","",U$5)</f>
        <v>46072</v>
      </c>
      <c r="V6" s="142" t="n">
        <f>IF(V$5="","",V$5)</f>
        <v>46073</v>
      </c>
      <c r="W6" s="142" t="n">
        <f>IF(W$5="","",W$5)</f>
        <v>46074</v>
      </c>
      <c r="X6" s="142" t="n">
        <f>IF(X$5="","",X$5)</f>
        <v>46075</v>
      </c>
      <c r="Y6" s="142" t="n">
        <f>IF(Y$5="","",Y$5)</f>
        <v>46076</v>
      </c>
      <c r="Z6" s="142" t="n">
        <f>IF(Z$5="","",Z$5)</f>
        <v>46077</v>
      </c>
      <c r="AA6" s="142" t="n">
        <f>IF(AA$5="","",AA$5)</f>
        <v>46078</v>
      </c>
      <c r="AB6" s="142" t="n">
        <f>IF(AB$5="","",AB$5)</f>
        <v>46079</v>
      </c>
      <c r="AC6" s="142" t="n">
        <f>IF(AC$5="","",AC$5)</f>
        <v>46080</v>
      </c>
      <c r="AD6" s="142" t="n">
        <f>IF(AD$5="","",AD$5)</f>
        <v>46081</v>
      </c>
      <c r="AE6" s="142" t="str">
        <f>IF(AE$5="","",AE$5)</f>
      </c>
      <c r="AF6" s="142" t="str">
        <f>IF(AF$5="","",AF$5)</f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str">
        <f>IF(AE$5="","",SUM(AE7:AE16))</f>
      </c>
      <c r="AF17" s="146" t="str">
        <f>IF(AF$5="","",SUM(AF7:AF16))</f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46054</v>
      </c>
      <c r="D19" s="142" t="n">
        <f>IF(D$5="","",D$5)</f>
        <v>46055</v>
      </c>
      <c r="E19" s="142" t="n">
        <f>IF(E$5="","",E$5)</f>
        <v>46056</v>
      </c>
      <c r="F19" s="142" t="n">
        <f>IF(F$5="","",F$5)</f>
        <v>46057</v>
      </c>
      <c r="G19" s="142" t="n">
        <f>IF(G$5="","",G$5)</f>
        <v>46058</v>
      </c>
      <c r="H19" s="142" t="n">
        <f>IF(H$5="","",H$5)</f>
        <v>46059</v>
      </c>
      <c r="I19" s="142" t="n">
        <f>IF(I$5="","",I$5)</f>
        <v>46060</v>
      </c>
      <c r="J19" s="142" t="n">
        <f>IF(J$5="","",J$5)</f>
        <v>46061</v>
      </c>
      <c r="K19" s="142" t="n">
        <f>IF(K$5="","",K$5)</f>
        <v>46062</v>
      </c>
      <c r="L19" s="142" t="n">
        <f>IF(L$5="","",L$5)</f>
        <v>46063</v>
      </c>
      <c r="M19" s="142" t="n">
        <f>IF(M$5="","",M$5)</f>
        <v>46064</v>
      </c>
      <c r="N19" s="142" t="n">
        <f>IF(N$5="","",N$5)</f>
        <v>46065</v>
      </c>
      <c r="O19" s="142" t="n">
        <f>IF(O$5="","",O$5)</f>
        <v>46066</v>
      </c>
      <c r="P19" s="142" t="n">
        <f>IF(P$5="","",P$5)</f>
        <v>46067</v>
      </c>
      <c r="Q19" s="142" t="n">
        <f>IF(Q$5="","",Q$5)</f>
        <v>46068</v>
      </c>
      <c r="R19" s="142" t="n">
        <f>IF(R$5="","",R$5)</f>
        <v>46069</v>
      </c>
      <c r="S19" s="142" t="n">
        <f>IF(S$5="","",S$5)</f>
        <v>46070</v>
      </c>
      <c r="T19" s="142" t="n">
        <f>IF(T$5="","",T$5)</f>
        <v>46071</v>
      </c>
      <c r="U19" s="142" t="n">
        <f>IF(U$5="","",U$5)</f>
        <v>46072</v>
      </c>
      <c r="V19" s="142" t="n">
        <f>IF(V$5="","",V$5)</f>
        <v>46073</v>
      </c>
      <c r="W19" s="142" t="n">
        <f>IF(W$5="","",W$5)</f>
        <v>46074</v>
      </c>
      <c r="X19" s="142" t="n">
        <f>IF(X$5="","",X$5)</f>
        <v>46075</v>
      </c>
      <c r="Y19" s="142" t="n">
        <f>IF(Y$5="","",Y$5)</f>
        <v>46076</v>
      </c>
      <c r="Z19" s="142" t="n">
        <f>IF(Z$5="","",Z$5)</f>
        <v>46077</v>
      </c>
      <c r="AA19" s="142" t="n">
        <f>IF(AA$5="","",AA$5)</f>
        <v>46078</v>
      </c>
      <c r="AB19" s="142" t="n">
        <f>IF(AB$5="","",AB$5)</f>
        <v>46079</v>
      </c>
      <c r="AC19" s="142" t="n">
        <f>IF(AC$5="","",AC$5)</f>
        <v>46080</v>
      </c>
      <c r="AD19" s="142" t="n">
        <f>IF(AD$5="","",AD$5)</f>
        <v>46081</v>
      </c>
      <c r="AE19" s="142" t="str">
        <f>IF(AE$5="","",AE$5)</f>
      </c>
      <c r="AF19" s="142" t="str">
        <f>IF(AF$5="","",AF$5)</f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str">
        <f>IF(AE$5="","",SUM(AE20:AE25))</f>
      </c>
      <c r="AF26" s="146" t="str">
        <f>IF(AF$5="","",SUM(AF20:AF25))</f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str">
        <f>IF(AE$5="","",SUM(AE17,AE26))</f>
      </c>
      <c r="AF28" s="146" t="str">
        <f>IF(AF$5="","",SUM(AF17,AF26))</f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46054</v>
      </c>
      <c r="D30" s="48" t="n">
        <f>IF(D$5="","",D$5)</f>
        <v>46055</v>
      </c>
      <c r="E30" s="48" t="n">
        <f>IF(E$5="","",E$5)</f>
        <v>46056</v>
      </c>
      <c r="F30" s="48" t="n">
        <f>IF(F$5="","",F$5)</f>
        <v>46057</v>
      </c>
      <c r="G30" s="48" t="n">
        <f>IF(G$5="","",G$5)</f>
        <v>46058</v>
      </c>
      <c r="H30" s="48" t="n">
        <f>IF(H$5="","",H$5)</f>
        <v>46059</v>
      </c>
      <c r="I30" s="48" t="n">
        <f>IF(I$5="","",I$5)</f>
        <v>46060</v>
      </c>
      <c r="J30" s="48" t="n">
        <f>IF(J$5="","",J$5)</f>
        <v>46061</v>
      </c>
      <c r="K30" s="48" t="n">
        <f>IF(K$5="","",K$5)</f>
        <v>46062</v>
      </c>
      <c r="L30" s="48" t="n">
        <f>IF(L$5="","",L$5)</f>
        <v>46063</v>
      </c>
      <c r="M30" s="48" t="n">
        <f>IF(M$5="","",M$5)</f>
        <v>46064</v>
      </c>
      <c r="N30" s="48" t="n">
        <f>IF(N$5="","",N$5)</f>
        <v>46065</v>
      </c>
      <c r="O30" s="48" t="n">
        <f>IF(O$5="","",O$5)</f>
        <v>46066</v>
      </c>
      <c r="P30" s="48" t="n">
        <f>IF(P$5="","",P$5)</f>
        <v>46067</v>
      </c>
      <c r="Q30" s="48" t="n">
        <f>IF(Q$5="","",Q$5)</f>
        <v>46068</v>
      </c>
      <c r="R30" s="48" t="n">
        <f>IF(R$5="","",R$5)</f>
        <v>46069</v>
      </c>
      <c r="S30" s="48" t="n">
        <f>IF(S$5="","",S$5)</f>
        <v>46070</v>
      </c>
      <c r="T30" s="48" t="n">
        <f>IF(T$5="","",T$5)</f>
        <v>46071</v>
      </c>
      <c r="U30" s="48" t="n">
        <f>IF(U$5="","",U$5)</f>
        <v>46072</v>
      </c>
      <c r="V30" s="48" t="n">
        <f>IF(V$5="","",V$5)</f>
        <v>46073</v>
      </c>
      <c r="W30" s="48" t="n">
        <f>IF(W$5="","",W$5)</f>
        <v>46074</v>
      </c>
      <c r="X30" s="48" t="n">
        <f>IF(X$5="","",X$5)</f>
        <v>46075</v>
      </c>
      <c r="Y30" s="48" t="n">
        <f>IF(Y$5="","",Y$5)</f>
        <v>46076</v>
      </c>
      <c r="Z30" s="48" t="n">
        <f>IF(Z$5="","",Z$5)</f>
        <v>46077</v>
      </c>
      <c r="AA30" s="48" t="n">
        <f>IF(AA$5="","",AA$5)</f>
        <v>46078</v>
      </c>
      <c r="AB30" s="48" t="n">
        <f>IF(AB$5="","",AB$5)</f>
        <v>46079</v>
      </c>
      <c r="AC30" s="48" t="n">
        <f>IF(AC$5="","",AC$5)</f>
        <v>46080</v>
      </c>
      <c r="AD30" s="48" t="n">
        <f>IF(AD$5="","",AD$5)</f>
        <v>46081</v>
      </c>
      <c r="AE30" s="48" t="str">
        <f>IF(AE$5="","",AE$5)</f>
      </c>
      <c r="AF30" s="48" t="str">
        <f>IF(AF$5="","",AF$5)</f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46054</v>
      </c>
      <c r="D31" s="142" t="n">
        <f>IF(D$5="","",D$5)</f>
        <v>46055</v>
      </c>
      <c r="E31" s="142" t="n">
        <f>IF(E$5="","",E$5)</f>
        <v>46056</v>
      </c>
      <c r="F31" s="142" t="n">
        <f>IF(F$5="","",F$5)</f>
        <v>46057</v>
      </c>
      <c r="G31" s="142" t="n">
        <f>IF(G$5="","",G$5)</f>
        <v>46058</v>
      </c>
      <c r="H31" s="142" t="n">
        <f>IF(H$5="","",H$5)</f>
        <v>46059</v>
      </c>
      <c r="I31" s="142" t="n">
        <f>IF(I$5="","",I$5)</f>
        <v>46060</v>
      </c>
      <c r="J31" s="142" t="n">
        <f>IF(J$5="","",J$5)</f>
        <v>46061</v>
      </c>
      <c r="K31" s="142" t="n">
        <f>IF(K$5="","",K$5)</f>
        <v>46062</v>
      </c>
      <c r="L31" s="142" t="n">
        <f>IF(L$5="","",L$5)</f>
        <v>46063</v>
      </c>
      <c r="M31" s="142" t="n">
        <f>IF(M$5="","",M$5)</f>
        <v>46064</v>
      </c>
      <c r="N31" s="142" t="n">
        <f>IF(N$5="","",N$5)</f>
        <v>46065</v>
      </c>
      <c r="O31" s="142" t="n">
        <f>IF(O$5="","",O$5)</f>
        <v>46066</v>
      </c>
      <c r="P31" s="142" t="n">
        <f>IF(P$5="","",P$5)</f>
        <v>46067</v>
      </c>
      <c r="Q31" s="142" t="n">
        <f>IF(Q$5="","",Q$5)</f>
        <v>46068</v>
      </c>
      <c r="R31" s="142" t="n">
        <f>IF(R$5="","",R$5)</f>
        <v>46069</v>
      </c>
      <c r="S31" s="142" t="n">
        <f>IF(S$5="","",S$5)</f>
        <v>46070</v>
      </c>
      <c r="T31" s="142" t="n">
        <f>IF(T$5="","",T$5)</f>
        <v>46071</v>
      </c>
      <c r="U31" s="142" t="n">
        <f>IF(U$5="","",U$5)</f>
        <v>46072</v>
      </c>
      <c r="V31" s="142" t="n">
        <f>IF(V$5="","",V$5)</f>
        <v>46073</v>
      </c>
      <c r="W31" s="142" t="n">
        <f>IF(W$5="","",W$5)</f>
        <v>46074</v>
      </c>
      <c r="X31" s="142" t="n">
        <f>IF(X$5="","",X$5)</f>
        <v>46075</v>
      </c>
      <c r="Y31" s="142" t="n">
        <f>IF(Y$5="","",Y$5)</f>
        <v>46076</v>
      </c>
      <c r="Z31" s="142" t="n">
        <f>IF(Z$5="","",Z$5)</f>
        <v>46077</v>
      </c>
      <c r="AA31" s="142" t="n">
        <f>IF(AA$5="","",AA$5)</f>
        <v>46078</v>
      </c>
      <c r="AB31" s="142" t="n">
        <f>IF(AB$5="","",AB$5)</f>
        <v>46079</v>
      </c>
      <c r="AC31" s="142" t="n">
        <f>IF(AC$5="","",AC$5)</f>
        <v>46080</v>
      </c>
      <c r="AD31" s="142" t="n">
        <f>IF(AD$5="","",AD$5)</f>
        <v>46081</v>
      </c>
      <c r="AE31" s="142" t="str">
        <f>IF(AE$5="","",AE$5)</f>
      </c>
      <c r="AF31" s="142" t="str">
        <f>IF(AF$5="","",AF$5)</f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str">
        <f>IF(AE$5="","",SUM(AE32:AE35))</f>
      </c>
      <c r="AF36" s="146" t="str">
        <f>IF(AF$5="","",SUM(AF32:AF35))</f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summary'!$C$4,2,1),DATE('Billable summary'!$C$4,3,0))</f>
        <v>20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160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120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120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64" priority="1">
      <formula>OR(C$5="",WEEKDAY(C$5,2)&gt;5)</formula>
    </cfRule>
    <cfRule type="expression" dxfId="65" priority="2">
      <formula>AND(C$5="",NOT(ISBLANK(C7)))</formula>
    </cfRule>
  </conditionalFormatting>
  <conditionalFormatting sqref="C20:AG25">
    <cfRule type="expression" dxfId="66" priority="3">
      <formula>OR(C$5="",WEEKDAY(C$5,2)&gt;5)</formula>
    </cfRule>
    <cfRule type="expression" dxfId="67" priority="4">
      <formula>AND(C$5="",NOT(ISBLANK(C20)))</formula>
    </cfRule>
  </conditionalFormatting>
  <conditionalFormatting sqref="C32:AG35">
    <cfRule type="expression" dxfId="68" priority="5">
      <formula>OR(C$5="",WEEKDAY(C$5,2)&gt;5)</formula>
    </cfRule>
    <cfRule type="expression" dxfId="69" priority="6">
      <formula>AND(C$5="",NOT(ISBLANK(C32)))</formula>
    </cfRule>
  </conditionalFormatting>
  <conditionalFormatting sqref="I43:K43">
    <cfRule type="expression" dxfId="70" priority="7">
      <formula>AND(ISNUMBER($I$43),$I$43&gt;=$I$44)</formula>
    </cfRule>
    <cfRule type="expression" dxfId="71" priority="8">
      <formula>AND(ISNUMBER($I$43),$I$43&lt;$I$44)</formula>
    </cfRule>
  </conditionalFormatting>
  <conditionalFormatting sqref="B51:AH51">
    <cfRule type="containsText" dxfId="72" priority="9" operator="containsText" text="Check"/>
    <cfRule type="containsText" dxfId="73" priority="10" operator="containsText" text="Invalid"/>
    <cfRule type="containsText" dxfId="74" priority="11" operator="containsText" text="Negative"/>
    <cfRule type="containsText" dxfId="7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summary'!$C$4,3,1),"mmmm yyyy")</f>
        <v>March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summary'!$C$4,4,0)),DATE('Billable summary'!$C$4,3,1),"")</f>
        <v>46082</v>
      </c>
      <c r="D5" s="48" t="n">
        <f>IF(2&lt;=DAY(DATE('Billable summary'!$C$4,4,0)),DATE('Billable summary'!$C$4,3,2),"")</f>
        <v>46083</v>
      </c>
      <c r="E5" s="48" t="n">
        <f>IF(3&lt;=DAY(DATE('Billable summary'!$C$4,4,0)),DATE('Billable summary'!$C$4,3,3),"")</f>
        <v>46084</v>
      </c>
      <c r="F5" s="48" t="n">
        <f>IF(4&lt;=DAY(DATE('Billable summary'!$C$4,4,0)),DATE('Billable summary'!$C$4,3,4),"")</f>
        <v>46085</v>
      </c>
      <c r="G5" s="48" t="n">
        <f>IF(5&lt;=DAY(DATE('Billable summary'!$C$4,4,0)),DATE('Billable summary'!$C$4,3,5),"")</f>
        <v>46086</v>
      </c>
      <c r="H5" s="48" t="n">
        <f>IF(6&lt;=DAY(DATE('Billable summary'!$C$4,4,0)),DATE('Billable summary'!$C$4,3,6),"")</f>
        <v>46087</v>
      </c>
      <c r="I5" s="48" t="n">
        <f>IF(7&lt;=DAY(DATE('Billable summary'!$C$4,4,0)),DATE('Billable summary'!$C$4,3,7),"")</f>
        <v>46088</v>
      </c>
      <c r="J5" s="48" t="n">
        <f>IF(8&lt;=DAY(DATE('Billable summary'!$C$4,4,0)),DATE('Billable summary'!$C$4,3,8),"")</f>
        <v>46089</v>
      </c>
      <c r="K5" s="48" t="n">
        <f>IF(9&lt;=DAY(DATE('Billable summary'!$C$4,4,0)),DATE('Billable summary'!$C$4,3,9),"")</f>
        <v>46090</v>
      </c>
      <c r="L5" s="48" t="n">
        <f>IF(10&lt;=DAY(DATE('Billable summary'!$C$4,4,0)),DATE('Billable summary'!$C$4,3,10),"")</f>
        <v>46091</v>
      </c>
      <c r="M5" s="48" t="n">
        <f>IF(11&lt;=DAY(DATE('Billable summary'!$C$4,4,0)),DATE('Billable summary'!$C$4,3,11),"")</f>
        <v>46092</v>
      </c>
      <c r="N5" s="48" t="n">
        <f>IF(12&lt;=DAY(DATE('Billable summary'!$C$4,4,0)),DATE('Billable summary'!$C$4,3,12),"")</f>
        <v>46093</v>
      </c>
      <c r="O5" s="48" t="n">
        <f>IF(13&lt;=DAY(DATE('Billable summary'!$C$4,4,0)),DATE('Billable summary'!$C$4,3,13),"")</f>
        <v>46094</v>
      </c>
      <c r="P5" s="48" t="n">
        <f>IF(14&lt;=DAY(DATE('Billable summary'!$C$4,4,0)),DATE('Billable summary'!$C$4,3,14),"")</f>
        <v>46095</v>
      </c>
      <c r="Q5" s="48" t="n">
        <f>IF(15&lt;=DAY(DATE('Billable summary'!$C$4,4,0)),DATE('Billable summary'!$C$4,3,15),"")</f>
        <v>46096</v>
      </c>
      <c r="R5" s="48" t="n">
        <f>IF(16&lt;=DAY(DATE('Billable summary'!$C$4,4,0)),DATE('Billable summary'!$C$4,3,16),"")</f>
        <v>46097</v>
      </c>
      <c r="S5" s="48" t="n">
        <f>IF(17&lt;=DAY(DATE('Billable summary'!$C$4,4,0)),DATE('Billable summary'!$C$4,3,17),"")</f>
        <v>46098</v>
      </c>
      <c r="T5" s="48" t="n">
        <f>IF(18&lt;=DAY(DATE('Billable summary'!$C$4,4,0)),DATE('Billable summary'!$C$4,3,18),"")</f>
        <v>46099</v>
      </c>
      <c r="U5" s="48" t="n">
        <f>IF(19&lt;=DAY(DATE('Billable summary'!$C$4,4,0)),DATE('Billable summary'!$C$4,3,19),"")</f>
        <v>46100</v>
      </c>
      <c r="V5" s="48" t="n">
        <f>IF(20&lt;=DAY(DATE('Billable summary'!$C$4,4,0)),DATE('Billable summary'!$C$4,3,20),"")</f>
        <v>46101</v>
      </c>
      <c r="W5" s="48" t="n">
        <f>IF(21&lt;=DAY(DATE('Billable summary'!$C$4,4,0)),DATE('Billable summary'!$C$4,3,21),"")</f>
        <v>46102</v>
      </c>
      <c r="X5" s="48" t="n">
        <f>IF(22&lt;=DAY(DATE('Billable summary'!$C$4,4,0)),DATE('Billable summary'!$C$4,3,22),"")</f>
        <v>46103</v>
      </c>
      <c r="Y5" s="48" t="n">
        <f>IF(23&lt;=DAY(DATE('Billable summary'!$C$4,4,0)),DATE('Billable summary'!$C$4,3,23),"")</f>
        <v>46104</v>
      </c>
      <c r="Z5" s="48" t="n">
        <f>IF(24&lt;=DAY(DATE('Billable summary'!$C$4,4,0)),DATE('Billable summary'!$C$4,3,24),"")</f>
        <v>46105</v>
      </c>
      <c r="AA5" s="48" t="n">
        <f>IF(25&lt;=DAY(DATE('Billable summary'!$C$4,4,0)),DATE('Billable summary'!$C$4,3,25),"")</f>
        <v>46106</v>
      </c>
      <c r="AB5" s="48" t="n">
        <f>IF(26&lt;=DAY(DATE('Billable summary'!$C$4,4,0)),DATE('Billable summary'!$C$4,3,26),"")</f>
        <v>46107</v>
      </c>
      <c r="AC5" s="48" t="n">
        <f>IF(27&lt;=DAY(DATE('Billable summary'!$C$4,4,0)),DATE('Billable summary'!$C$4,3,27),"")</f>
        <v>46108</v>
      </c>
      <c r="AD5" s="48" t="n">
        <f>IF(28&lt;=DAY(DATE('Billable summary'!$C$4,4,0)),DATE('Billable summary'!$C$4,3,28),"")</f>
        <v>46109</v>
      </c>
      <c r="AE5" s="48" t="n">
        <f>IF(29&lt;=DAY(DATE('Billable summary'!$C$4,4,0)),DATE('Billable summary'!$C$4,3,29),"")</f>
        <v>46110</v>
      </c>
      <c r="AF5" s="48" t="n">
        <f>IF(30&lt;=DAY(DATE('Billable summary'!$C$4,4,0)),DATE('Billable summary'!$C$4,3,30),"")</f>
        <v>46111</v>
      </c>
      <c r="AG5" s="48" t="n">
        <f>IF(31&lt;=DAY(DATE('Billable summary'!$C$4,4,0)),DATE('Billable summary'!$C$4,3,31),"")</f>
        <v>46112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46082</v>
      </c>
      <c r="D6" s="142" t="n">
        <f>IF(D$5="","",D$5)</f>
        <v>46083</v>
      </c>
      <c r="E6" s="142" t="n">
        <f>IF(E$5="","",E$5)</f>
        <v>46084</v>
      </c>
      <c r="F6" s="142" t="n">
        <f>IF(F$5="","",F$5)</f>
        <v>46085</v>
      </c>
      <c r="G6" s="142" t="n">
        <f>IF(G$5="","",G$5)</f>
        <v>46086</v>
      </c>
      <c r="H6" s="142" t="n">
        <f>IF(H$5="","",H$5)</f>
        <v>46087</v>
      </c>
      <c r="I6" s="142" t="n">
        <f>IF(I$5="","",I$5)</f>
        <v>46088</v>
      </c>
      <c r="J6" s="142" t="n">
        <f>IF(J$5="","",J$5)</f>
        <v>46089</v>
      </c>
      <c r="K6" s="142" t="n">
        <f>IF(K$5="","",K$5)</f>
        <v>46090</v>
      </c>
      <c r="L6" s="142" t="n">
        <f>IF(L$5="","",L$5)</f>
        <v>46091</v>
      </c>
      <c r="M6" s="142" t="n">
        <f>IF(M$5="","",M$5)</f>
        <v>46092</v>
      </c>
      <c r="N6" s="142" t="n">
        <f>IF(N$5="","",N$5)</f>
        <v>46093</v>
      </c>
      <c r="O6" s="142" t="n">
        <f>IF(O$5="","",O$5)</f>
        <v>46094</v>
      </c>
      <c r="P6" s="142" t="n">
        <f>IF(P$5="","",P$5)</f>
        <v>46095</v>
      </c>
      <c r="Q6" s="142" t="n">
        <f>IF(Q$5="","",Q$5)</f>
        <v>46096</v>
      </c>
      <c r="R6" s="142" t="n">
        <f>IF(R$5="","",R$5)</f>
        <v>46097</v>
      </c>
      <c r="S6" s="142" t="n">
        <f>IF(S$5="","",S$5)</f>
        <v>46098</v>
      </c>
      <c r="T6" s="142" t="n">
        <f>IF(T$5="","",T$5)</f>
        <v>46099</v>
      </c>
      <c r="U6" s="142" t="n">
        <f>IF(U$5="","",U$5)</f>
        <v>46100</v>
      </c>
      <c r="V6" s="142" t="n">
        <f>IF(V$5="","",V$5)</f>
        <v>46101</v>
      </c>
      <c r="W6" s="142" t="n">
        <f>IF(W$5="","",W$5)</f>
        <v>46102</v>
      </c>
      <c r="X6" s="142" t="n">
        <f>IF(X$5="","",X$5)</f>
        <v>46103</v>
      </c>
      <c r="Y6" s="142" t="n">
        <f>IF(Y$5="","",Y$5)</f>
        <v>46104</v>
      </c>
      <c r="Z6" s="142" t="n">
        <f>IF(Z$5="","",Z$5)</f>
        <v>46105</v>
      </c>
      <c r="AA6" s="142" t="n">
        <f>IF(AA$5="","",AA$5)</f>
        <v>46106</v>
      </c>
      <c r="AB6" s="142" t="n">
        <f>IF(AB$5="","",AB$5)</f>
        <v>46107</v>
      </c>
      <c r="AC6" s="142" t="n">
        <f>IF(AC$5="","",AC$5)</f>
        <v>46108</v>
      </c>
      <c r="AD6" s="142" t="n">
        <f>IF(AD$5="","",AD$5)</f>
        <v>46109</v>
      </c>
      <c r="AE6" s="142" t="n">
        <f>IF(AE$5="","",AE$5)</f>
        <v>46110</v>
      </c>
      <c r="AF6" s="142" t="n">
        <f>IF(AF$5="","",AF$5)</f>
        <v>46111</v>
      </c>
      <c r="AG6" s="142" t="n">
        <f>IF(AG$5="","",AG$5)</f>
        <v>46112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46082</v>
      </c>
      <c r="D19" s="142" t="n">
        <f>IF(D$5="","",D$5)</f>
        <v>46083</v>
      </c>
      <c r="E19" s="142" t="n">
        <f>IF(E$5="","",E$5)</f>
        <v>46084</v>
      </c>
      <c r="F19" s="142" t="n">
        <f>IF(F$5="","",F$5)</f>
        <v>46085</v>
      </c>
      <c r="G19" s="142" t="n">
        <f>IF(G$5="","",G$5)</f>
        <v>46086</v>
      </c>
      <c r="H19" s="142" t="n">
        <f>IF(H$5="","",H$5)</f>
        <v>46087</v>
      </c>
      <c r="I19" s="142" t="n">
        <f>IF(I$5="","",I$5)</f>
        <v>46088</v>
      </c>
      <c r="J19" s="142" t="n">
        <f>IF(J$5="","",J$5)</f>
        <v>46089</v>
      </c>
      <c r="K19" s="142" t="n">
        <f>IF(K$5="","",K$5)</f>
        <v>46090</v>
      </c>
      <c r="L19" s="142" t="n">
        <f>IF(L$5="","",L$5)</f>
        <v>46091</v>
      </c>
      <c r="M19" s="142" t="n">
        <f>IF(M$5="","",M$5)</f>
        <v>46092</v>
      </c>
      <c r="N19" s="142" t="n">
        <f>IF(N$5="","",N$5)</f>
        <v>46093</v>
      </c>
      <c r="O19" s="142" t="n">
        <f>IF(O$5="","",O$5)</f>
        <v>46094</v>
      </c>
      <c r="P19" s="142" t="n">
        <f>IF(P$5="","",P$5)</f>
        <v>46095</v>
      </c>
      <c r="Q19" s="142" t="n">
        <f>IF(Q$5="","",Q$5)</f>
        <v>46096</v>
      </c>
      <c r="R19" s="142" t="n">
        <f>IF(R$5="","",R$5)</f>
        <v>46097</v>
      </c>
      <c r="S19" s="142" t="n">
        <f>IF(S$5="","",S$5)</f>
        <v>46098</v>
      </c>
      <c r="T19" s="142" t="n">
        <f>IF(T$5="","",T$5)</f>
        <v>46099</v>
      </c>
      <c r="U19" s="142" t="n">
        <f>IF(U$5="","",U$5)</f>
        <v>46100</v>
      </c>
      <c r="V19" s="142" t="n">
        <f>IF(V$5="","",V$5)</f>
        <v>46101</v>
      </c>
      <c r="W19" s="142" t="n">
        <f>IF(W$5="","",W$5)</f>
        <v>46102</v>
      </c>
      <c r="X19" s="142" t="n">
        <f>IF(X$5="","",X$5)</f>
        <v>46103</v>
      </c>
      <c r="Y19" s="142" t="n">
        <f>IF(Y$5="","",Y$5)</f>
        <v>46104</v>
      </c>
      <c r="Z19" s="142" t="n">
        <f>IF(Z$5="","",Z$5)</f>
        <v>46105</v>
      </c>
      <c r="AA19" s="142" t="n">
        <f>IF(AA$5="","",AA$5)</f>
        <v>46106</v>
      </c>
      <c r="AB19" s="142" t="n">
        <f>IF(AB$5="","",AB$5)</f>
        <v>46107</v>
      </c>
      <c r="AC19" s="142" t="n">
        <f>IF(AC$5="","",AC$5)</f>
        <v>46108</v>
      </c>
      <c r="AD19" s="142" t="n">
        <f>IF(AD$5="","",AD$5)</f>
        <v>46109</v>
      </c>
      <c r="AE19" s="142" t="n">
        <f>IF(AE$5="","",AE$5)</f>
        <v>46110</v>
      </c>
      <c r="AF19" s="142" t="n">
        <f>IF(AF$5="","",AF$5)</f>
        <v>46111</v>
      </c>
      <c r="AG19" s="142" t="n">
        <f>IF(AG$5="","",AG$5)</f>
        <v>46112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46082</v>
      </c>
      <c r="D30" s="48" t="n">
        <f>IF(D$5="","",D$5)</f>
        <v>46083</v>
      </c>
      <c r="E30" s="48" t="n">
        <f>IF(E$5="","",E$5)</f>
        <v>46084</v>
      </c>
      <c r="F30" s="48" t="n">
        <f>IF(F$5="","",F$5)</f>
        <v>46085</v>
      </c>
      <c r="G30" s="48" t="n">
        <f>IF(G$5="","",G$5)</f>
        <v>46086</v>
      </c>
      <c r="H30" s="48" t="n">
        <f>IF(H$5="","",H$5)</f>
        <v>46087</v>
      </c>
      <c r="I30" s="48" t="n">
        <f>IF(I$5="","",I$5)</f>
        <v>46088</v>
      </c>
      <c r="J30" s="48" t="n">
        <f>IF(J$5="","",J$5)</f>
        <v>46089</v>
      </c>
      <c r="K30" s="48" t="n">
        <f>IF(K$5="","",K$5)</f>
        <v>46090</v>
      </c>
      <c r="L30" s="48" t="n">
        <f>IF(L$5="","",L$5)</f>
        <v>46091</v>
      </c>
      <c r="M30" s="48" t="n">
        <f>IF(M$5="","",M$5)</f>
        <v>46092</v>
      </c>
      <c r="N30" s="48" t="n">
        <f>IF(N$5="","",N$5)</f>
        <v>46093</v>
      </c>
      <c r="O30" s="48" t="n">
        <f>IF(O$5="","",O$5)</f>
        <v>46094</v>
      </c>
      <c r="P30" s="48" t="n">
        <f>IF(P$5="","",P$5)</f>
        <v>46095</v>
      </c>
      <c r="Q30" s="48" t="n">
        <f>IF(Q$5="","",Q$5)</f>
        <v>46096</v>
      </c>
      <c r="R30" s="48" t="n">
        <f>IF(R$5="","",R$5)</f>
        <v>46097</v>
      </c>
      <c r="S30" s="48" t="n">
        <f>IF(S$5="","",S$5)</f>
        <v>46098</v>
      </c>
      <c r="T30" s="48" t="n">
        <f>IF(T$5="","",T$5)</f>
        <v>46099</v>
      </c>
      <c r="U30" s="48" t="n">
        <f>IF(U$5="","",U$5)</f>
        <v>46100</v>
      </c>
      <c r="V30" s="48" t="n">
        <f>IF(V$5="","",V$5)</f>
        <v>46101</v>
      </c>
      <c r="W30" s="48" t="n">
        <f>IF(W$5="","",W$5)</f>
        <v>46102</v>
      </c>
      <c r="X30" s="48" t="n">
        <f>IF(X$5="","",X$5)</f>
        <v>46103</v>
      </c>
      <c r="Y30" s="48" t="n">
        <f>IF(Y$5="","",Y$5)</f>
        <v>46104</v>
      </c>
      <c r="Z30" s="48" t="n">
        <f>IF(Z$5="","",Z$5)</f>
        <v>46105</v>
      </c>
      <c r="AA30" s="48" t="n">
        <f>IF(AA$5="","",AA$5)</f>
        <v>46106</v>
      </c>
      <c r="AB30" s="48" t="n">
        <f>IF(AB$5="","",AB$5)</f>
        <v>46107</v>
      </c>
      <c r="AC30" s="48" t="n">
        <f>IF(AC$5="","",AC$5)</f>
        <v>46108</v>
      </c>
      <c r="AD30" s="48" t="n">
        <f>IF(AD$5="","",AD$5)</f>
        <v>46109</v>
      </c>
      <c r="AE30" s="48" t="n">
        <f>IF(AE$5="","",AE$5)</f>
        <v>46110</v>
      </c>
      <c r="AF30" s="48" t="n">
        <f>IF(AF$5="","",AF$5)</f>
        <v>46111</v>
      </c>
      <c r="AG30" s="48" t="n">
        <f>IF(AG$5="","",AG$5)</f>
        <v>46112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46082</v>
      </c>
      <c r="D31" s="142" t="n">
        <f>IF(D$5="","",D$5)</f>
        <v>46083</v>
      </c>
      <c r="E31" s="142" t="n">
        <f>IF(E$5="","",E$5)</f>
        <v>46084</v>
      </c>
      <c r="F31" s="142" t="n">
        <f>IF(F$5="","",F$5)</f>
        <v>46085</v>
      </c>
      <c r="G31" s="142" t="n">
        <f>IF(G$5="","",G$5)</f>
        <v>46086</v>
      </c>
      <c r="H31" s="142" t="n">
        <f>IF(H$5="","",H$5)</f>
        <v>46087</v>
      </c>
      <c r="I31" s="142" t="n">
        <f>IF(I$5="","",I$5)</f>
        <v>46088</v>
      </c>
      <c r="J31" s="142" t="n">
        <f>IF(J$5="","",J$5)</f>
        <v>46089</v>
      </c>
      <c r="K31" s="142" t="n">
        <f>IF(K$5="","",K$5)</f>
        <v>46090</v>
      </c>
      <c r="L31" s="142" t="n">
        <f>IF(L$5="","",L$5)</f>
        <v>46091</v>
      </c>
      <c r="M31" s="142" t="n">
        <f>IF(M$5="","",M$5)</f>
        <v>46092</v>
      </c>
      <c r="N31" s="142" t="n">
        <f>IF(N$5="","",N$5)</f>
        <v>46093</v>
      </c>
      <c r="O31" s="142" t="n">
        <f>IF(O$5="","",O$5)</f>
        <v>46094</v>
      </c>
      <c r="P31" s="142" t="n">
        <f>IF(P$5="","",P$5)</f>
        <v>46095</v>
      </c>
      <c r="Q31" s="142" t="n">
        <f>IF(Q$5="","",Q$5)</f>
        <v>46096</v>
      </c>
      <c r="R31" s="142" t="n">
        <f>IF(R$5="","",R$5)</f>
        <v>46097</v>
      </c>
      <c r="S31" s="142" t="n">
        <f>IF(S$5="","",S$5)</f>
        <v>46098</v>
      </c>
      <c r="T31" s="142" t="n">
        <f>IF(T$5="","",T$5)</f>
        <v>46099</v>
      </c>
      <c r="U31" s="142" t="n">
        <f>IF(U$5="","",U$5)</f>
        <v>46100</v>
      </c>
      <c r="V31" s="142" t="n">
        <f>IF(V$5="","",V$5)</f>
        <v>46101</v>
      </c>
      <c r="W31" s="142" t="n">
        <f>IF(W$5="","",W$5)</f>
        <v>46102</v>
      </c>
      <c r="X31" s="142" t="n">
        <f>IF(X$5="","",X$5)</f>
        <v>46103</v>
      </c>
      <c r="Y31" s="142" t="n">
        <f>IF(Y$5="","",Y$5)</f>
        <v>46104</v>
      </c>
      <c r="Z31" s="142" t="n">
        <f>IF(Z$5="","",Z$5)</f>
        <v>46105</v>
      </c>
      <c r="AA31" s="142" t="n">
        <f>IF(AA$5="","",AA$5)</f>
        <v>46106</v>
      </c>
      <c r="AB31" s="142" t="n">
        <f>IF(AB$5="","",AB$5)</f>
        <v>46107</v>
      </c>
      <c r="AC31" s="142" t="n">
        <f>IF(AC$5="","",AC$5)</f>
        <v>46108</v>
      </c>
      <c r="AD31" s="142" t="n">
        <f>IF(AD$5="","",AD$5)</f>
        <v>46109</v>
      </c>
      <c r="AE31" s="142" t="n">
        <f>IF(AE$5="","",AE$5)</f>
        <v>46110</v>
      </c>
      <c r="AF31" s="142" t="n">
        <f>IF(AF$5="","",AF$5)</f>
        <v>46111</v>
      </c>
      <c r="AG31" s="142" t="n">
        <f>IF(AG$5="","",AG$5)</f>
        <v>46112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summary'!$C$4,3,1),DATE('Billable summary'!$C$4,4,0))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76" priority="1">
      <formula>OR(C$5="",WEEKDAY(C$5,2)&gt;5)</formula>
    </cfRule>
    <cfRule type="expression" dxfId="77" priority="2">
      <formula>AND(C$5="",NOT(ISBLANK(C7)))</formula>
    </cfRule>
  </conditionalFormatting>
  <conditionalFormatting sqref="C20:AG25">
    <cfRule type="expression" dxfId="78" priority="3">
      <formula>OR(C$5="",WEEKDAY(C$5,2)&gt;5)</formula>
    </cfRule>
    <cfRule type="expression" dxfId="79" priority="4">
      <formula>AND(C$5="",NOT(ISBLANK(C20)))</formula>
    </cfRule>
  </conditionalFormatting>
  <conditionalFormatting sqref="C32:AG35">
    <cfRule type="expression" dxfId="80" priority="5">
      <formula>OR(C$5="",WEEKDAY(C$5,2)&gt;5)</formula>
    </cfRule>
    <cfRule type="expression" dxfId="81" priority="6">
      <formula>AND(C$5="",NOT(ISBLANK(C32)))</formula>
    </cfRule>
  </conditionalFormatting>
  <conditionalFormatting sqref="I43:K43">
    <cfRule type="expression" dxfId="82" priority="7">
      <formula>AND(ISNUMBER($I$43),$I$43&gt;=$I$44)</formula>
    </cfRule>
    <cfRule type="expression" dxfId="83" priority="8">
      <formula>AND(ISNUMBER($I$43),$I$43&lt;$I$44)</formula>
    </cfRule>
  </conditionalFormatting>
  <conditionalFormatting sqref="B51:AH51">
    <cfRule type="containsText" dxfId="84" priority="9" operator="containsText" text="Check"/>
    <cfRule type="containsText" dxfId="85" priority="10" operator="containsText" text="Invalid"/>
    <cfRule type="containsText" dxfId="86" priority="11" operator="containsText" text="Negative"/>
    <cfRule type="containsText" dxfId="8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summary'!$C$4,4,1),"mmmm yyyy")</f>
        <v>April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summary'!$C$4,5,0)),DATE('Billable summary'!$C$4,4,1),"")</f>
        <v>46113</v>
      </c>
      <c r="D5" s="48" t="n">
        <f>IF(2&lt;=DAY(DATE('Billable summary'!$C$4,5,0)),DATE('Billable summary'!$C$4,4,2),"")</f>
        <v>46114</v>
      </c>
      <c r="E5" s="48" t="n">
        <f>IF(3&lt;=DAY(DATE('Billable summary'!$C$4,5,0)),DATE('Billable summary'!$C$4,4,3),"")</f>
        <v>46115</v>
      </c>
      <c r="F5" s="48" t="n">
        <f>IF(4&lt;=DAY(DATE('Billable summary'!$C$4,5,0)),DATE('Billable summary'!$C$4,4,4),"")</f>
        <v>46116</v>
      </c>
      <c r="G5" s="48" t="n">
        <f>IF(5&lt;=DAY(DATE('Billable summary'!$C$4,5,0)),DATE('Billable summary'!$C$4,4,5),"")</f>
        <v>46117</v>
      </c>
      <c r="H5" s="48" t="n">
        <f>IF(6&lt;=DAY(DATE('Billable summary'!$C$4,5,0)),DATE('Billable summary'!$C$4,4,6),"")</f>
        <v>46118</v>
      </c>
      <c r="I5" s="48" t="n">
        <f>IF(7&lt;=DAY(DATE('Billable summary'!$C$4,5,0)),DATE('Billable summary'!$C$4,4,7),"")</f>
        <v>46119</v>
      </c>
      <c r="J5" s="48" t="n">
        <f>IF(8&lt;=DAY(DATE('Billable summary'!$C$4,5,0)),DATE('Billable summary'!$C$4,4,8),"")</f>
        <v>46120</v>
      </c>
      <c r="K5" s="48" t="n">
        <f>IF(9&lt;=DAY(DATE('Billable summary'!$C$4,5,0)),DATE('Billable summary'!$C$4,4,9),"")</f>
        <v>46121</v>
      </c>
      <c r="L5" s="48" t="n">
        <f>IF(10&lt;=DAY(DATE('Billable summary'!$C$4,5,0)),DATE('Billable summary'!$C$4,4,10),"")</f>
        <v>46122</v>
      </c>
      <c r="M5" s="48" t="n">
        <f>IF(11&lt;=DAY(DATE('Billable summary'!$C$4,5,0)),DATE('Billable summary'!$C$4,4,11),"")</f>
        <v>46123</v>
      </c>
      <c r="N5" s="48" t="n">
        <f>IF(12&lt;=DAY(DATE('Billable summary'!$C$4,5,0)),DATE('Billable summary'!$C$4,4,12),"")</f>
        <v>46124</v>
      </c>
      <c r="O5" s="48" t="n">
        <f>IF(13&lt;=DAY(DATE('Billable summary'!$C$4,5,0)),DATE('Billable summary'!$C$4,4,13),"")</f>
        <v>46125</v>
      </c>
      <c r="P5" s="48" t="n">
        <f>IF(14&lt;=DAY(DATE('Billable summary'!$C$4,5,0)),DATE('Billable summary'!$C$4,4,14),"")</f>
        <v>46126</v>
      </c>
      <c r="Q5" s="48" t="n">
        <f>IF(15&lt;=DAY(DATE('Billable summary'!$C$4,5,0)),DATE('Billable summary'!$C$4,4,15),"")</f>
        <v>46127</v>
      </c>
      <c r="R5" s="48" t="n">
        <f>IF(16&lt;=DAY(DATE('Billable summary'!$C$4,5,0)),DATE('Billable summary'!$C$4,4,16),"")</f>
        <v>46128</v>
      </c>
      <c r="S5" s="48" t="n">
        <f>IF(17&lt;=DAY(DATE('Billable summary'!$C$4,5,0)),DATE('Billable summary'!$C$4,4,17),"")</f>
        <v>46129</v>
      </c>
      <c r="T5" s="48" t="n">
        <f>IF(18&lt;=DAY(DATE('Billable summary'!$C$4,5,0)),DATE('Billable summary'!$C$4,4,18),"")</f>
        <v>46130</v>
      </c>
      <c r="U5" s="48" t="n">
        <f>IF(19&lt;=DAY(DATE('Billable summary'!$C$4,5,0)),DATE('Billable summary'!$C$4,4,19),"")</f>
        <v>46131</v>
      </c>
      <c r="V5" s="48" t="n">
        <f>IF(20&lt;=DAY(DATE('Billable summary'!$C$4,5,0)),DATE('Billable summary'!$C$4,4,20),"")</f>
        <v>46132</v>
      </c>
      <c r="W5" s="48" t="n">
        <f>IF(21&lt;=DAY(DATE('Billable summary'!$C$4,5,0)),DATE('Billable summary'!$C$4,4,21),"")</f>
        <v>46133</v>
      </c>
      <c r="X5" s="48" t="n">
        <f>IF(22&lt;=DAY(DATE('Billable summary'!$C$4,5,0)),DATE('Billable summary'!$C$4,4,22),"")</f>
        <v>46134</v>
      </c>
      <c r="Y5" s="48" t="n">
        <f>IF(23&lt;=DAY(DATE('Billable summary'!$C$4,5,0)),DATE('Billable summary'!$C$4,4,23),"")</f>
        <v>46135</v>
      </c>
      <c r="Z5" s="48" t="n">
        <f>IF(24&lt;=DAY(DATE('Billable summary'!$C$4,5,0)),DATE('Billable summary'!$C$4,4,24),"")</f>
        <v>46136</v>
      </c>
      <c r="AA5" s="48" t="n">
        <f>IF(25&lt;=DAY(DATE('Billable summary'!$C$4,5,0)),DATE('Billable summary'!$C$4,4,25),"")</f>
        <v>46137</v>
      </c>
      <c r="AB5" s="48" t="n">
        <f>IF(26&lt;=DAY(DATE('Billable summary'!$C$4,5,0)),DATE('Billable summary'!$C$4,4,26),"")</f>
        <v>46138</v>
      </c>
      <c r="AC5" s="48" t="n">
        <f>IF(27&lt;=DAY(DATE('Billable summary'!$C$4,5,0)),DATE('Billable summary'!$C$4,4,27),"")</f>
        <v>46139</v>
      </c>
      <c r="AD5" s="48" t="n">
        <f>IF(28&lt;=DAY(DATE('Billable summary'!$C$4,5,0)),DATE('Billable summary'!$C$4,4,28),"")</f>
        <v>46140</v>
      </c>
      <c r="AE5" s="48" t="n">
        <f>IF(29&lt;=DAY(DATE('Billable summary'!$C$4,5,0)),DATE('Billable summary'!$C$4,4,29),"")</f>
        <v>46141</v>
      </c>
      <c r="AF5" s="48" t="n">
        <f>IF(30&lt;=DAY(DATE('Billable summary'!$C$4,5,0)),DATE('Billable summary'!$C$4,4,30),"")</f>
        <v>46142</v>
      </c>
      <c r="AG5" s="48" t="str">
        <f>IF(31&lt;=DAY(DATE('Billable summary'!$C$4,5,0)),DATE('Billable summary'!$C$4,4,31),"")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46113</v>
      </c>
      <c r="D6" s="142" t="n">
        <f>IF(D$5="","",D$5)</f>
        <v>46114</v>
      </c>
      <c r="E6" s="142" t="n">
        <f>IF(E$5="","",E$5)</f>
        <v>46115</v>
      </c>
      <c r="F6" s="142" t="n">
        <f>IF(F$5="","",F$5)</f>
        <v>46116</v>
      </c>
      <c r="G6" s="142" t="n">
        <f>IF(G$5="","",G$5)</f>
        <v>46117</v>
      </c>
      <c r="H6" s="142" t="n">
        <f>IF(H$5="","",H$5)</f>
        <v>46118</v>
      </c>
      <c r="I6" s="142" t="n">
        <f>IF(I$5="","",I$5)</f>
        <v>46119</v>
      </c>
      <c r="J6" s="142" t="n">
        <f>IF(J$5="","",J$5)</f>
        <v>46120</v>
      </c>
      <c r="K6" s="142" t="n">
        <f>IF(K$5="","",K$5)</f>
        <v>46121</v>
      </c>
      <c r="L6" s="142" t="n">
        <f>IF(L$5="","",L$5)</f>
        <v>46122</v>
      </c>
      <c r="M6" s="142" t="n">
        <f>IF(M$5="","",M$5)</f>
        <v>46123</v>
      </c>
      <c r="N6" s="142" t="n">
        <f>IF(N$5="","",N$5)</f>
        <v>46124</v>
      </c>
      <c r="O6" s="142" t="n">
        <f>IF(O$5="","",O$5)</f>
        <v>46125</v>
      </c>
      <c r="P6" s="142" t="n">
        <f>IF(P$5="","",P$5)</f>
        <v>46126</v>
      </c>
      <c r="Q6" s="142" t="n">
        <f>IF(Q$5="","",Q$5)</f>
        <v>46127</v>
      </c>
      <c r="R6" s="142" t="n">
        <f>IF(R$5="","",R$5)</f>
        <v>46128</v>
      </c>
      <c r="S6" s="142" t="n">
        <f>IF(S$5="","",S$5)</f>
        <v>46129</v>
      </c>
      <c r="T6" s="142" t="n">
        <f>IF(T$5="","",T$5)</f>
        <v>46130</v>
      </c>
      <c r="U6" s="142" t="n">
        <f>IF(U$5="","",U$5)</f>
        <v>46131</v>
      </c>
      <c r="V6" s="142" t="n">
        <f>IF(V$5="","",V$5)</f>
        <v>46132</v>
      </c>
      <c r="W6" s="142" t="n">
        <f>IF(W$5="","",W$5)</f>
        <v>46133</v>
      </c>
      <c r="X6" s="142" t="n">
        <f>IF(X$5="","",X$5)</f>
        <v>46134</v>
      </c>
      <c r="Y6" s="142" t="n">
        <f>IF(Y$5="","",Y$5)</f>
        <v>46135</v>
      </c>
      <c r="Z6" s="142" t="n">
        <f>IF(Z$5="","",Z$5)</f>
        <v>46136</v>
      </c>
      <c r="AA6" s="142" t="n">
        <f>IF(AA$5="","",AA$5)</f>
        <v>46137</v>
      </c>
      <c r="AB6" s="142" t="n">
        <f>IF(AB$5="","",AB$5)</f>
        <v>46138</v>
      </c>
      <c r="AC6" s="142" t="n">
        <f>IF(AC$5="","",AC$5)</f>
        <v>46139</v>
      </c>
      <c r="AD6" s="142" t="n">
        <f>IF(AD$5="","",AD$5)</f>
        <v>46140</v>
      </c>
      <c r="AE6" s="142" t="n">
        <f>IF(AE$5="","",AE$5)</f>
        <v>46141</v>
      </c>
      <c r="AF6" s="142" t="n">
        <f>IF(AF$5="","",AF$5)</f>
        <v>46142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46113</v>
      </c>
      <c r="D19" s="142" t="n">
        <f>IF(D$5="","",D$5)</f>
        <v>46114</v>
      </c>
      <c r="E19" s="142" t="n">
        <f>IF(E$5="","",E$5)</f>
        <v>46115</v>
      </c>
      <c r="F19" s="142" t="n">
        <f>IF(F$5="","",F$5)</f>
        <v>46116</v>
      </c>
      <c r="G19" s="142" t="n">
        <f>IF(G$5="","",G$5)</f>
        <v>46117</v>
      </c>
      <c r="H19" s="142" t="n">
        <f>IF(H$5="","",H$5)</f>
        <v>46118</v>
      </c>
      <c r="I19" s="142" t="n">
        <f>IF(I$5="","",I$5)</f>
        <v>46119</v>
      </c>
      <c r="J19" s="142" t="n">
        <f>IF(J$5="","",J$5)</f>
        <v>46120</v>
      </c>
      <c r="K19" s="142" t="n">
        <f>IF(K$5="","",K$5)</f>
        <v>46121</v>
      </c>
      <c r="L19" s="142" t="n">
        <f>IF(L$5="","",L$5)</f>
        <v>46122</v>
      </c>
      <c r="M19" s="142" t="n">
        <f>IF(M$5="","",M$5)</f>
        <v>46123</v>
      </c>
      <c r="N19" s="142" t="n">
        <f>IF(N$5="","",N$5)</f>
        <v>46124</v>
      </c>
      <c r="O19" s="142" t="n">
        <f>IF(O$5="","",O$5)</f>
        <v>46125</v>
      </c>
      <c r="P19" s="142" t="n">
        <f>IF(P$5="","",P$5)</f>
        <v>46126</v>
      </c>
      <c r="Q19" s="142" t="n">
        <f>IF(Q$5="","",Q$5)</f>
        <v>46127</v>
      </c>
      <c r="R19" s="142" t="n">
        <f>IF(R$5="","",R$5)</f>
        <v>46128</v>
      </c>
      <c r="S19" s="142" t="n">
        <f>IF(S$5="","",S$5)</f>
        <v>46129</v>
      </c>
      <c r="T19" s="142" t="n">
        <f>IF(T$5="","",T$5)</f>
        <v>46130</v>
      </c>
      <c r="U19" s="142" t="n">
        <f>IF(U$5="","",U$5)</f>
        <v>46131</v>
      </c>
      <c r="V19" s="142" t="n">
        <f>IF(V$5="","",V$5)</f>
        <v>46132</v>
      </c>
      <c r="W19" s="142" t="n">
        <f>IF(W$5="","",W$5)</f>
        <v>46133</v>
      </c>
      <c r="X19" s="142" t="n">
        <f>IF(X$5="","",X$5)</f>
        <v>46134</v>
      </c>
      <c r="Y19" s="142" t="n">
        <f>IF(Y$5="","",Y$5)</f>
        <v>46135</v>
      </c>
      <c r="Z19" s="142" t="n">
        <f>IF(Z$5="","",Z$5)</f>
        <v>46136</v>
      </c>
      <c r="AA19" s="142" t="n">
        <f>IF(AA$5="","",AA$5)</f>
        <v>46137</v>
      </c>
      <c r="AB19" s="142" t="n">
        <f>IF(AB$5="","",AB$5)</f>
        <v>46138</v>
      </c>
      <c r="AC19" s="142" t="n">
        <f>IF(AC$5="","",AC$5)</f>
        <v>46139</v>
      </c>
      <c r="AD19" s="142" t="n">
        <f>IF(AD$5="","",AD$5)</f>
        <v>46140</v>
      </c>
      <c r="AE19" s="142" t="n">
        <f>IF(AE$5="","",AE$5)</f>
        <v>46141</v>
      </c>
      <c r="AF19" s="142" t="n">
        <f>IF(AF$5="","",AF$5)</f>
        <v>46142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46113</v>
      </c>
      <c r="D30" s="48" t="n">
        <f>IF(D$5="","",D$5)</f>
        <v>46114</v>
      </c>
      <c r="E30" s="48" t="n">
        <f>IF(E$5="","",E$5)</f>
        <v>46115</v>
      </c>
      <c r="F30" s="48" t="n">
        <f>IF(F$5="","",F$5)</f>
        <v>46116</v>
      </c>
      <c r="G30" s="48" t="n">
        <f>IF(G$5="","",G$5)</f>
        <v>46117</v>
      </c>
      <c r="H30" s="48" t="n">
        <f>IF(H$5="","",H$5)</f>
        <v>46118</v>
      </c>
      <c r="I30" s="48" t="n">
        <f>IF(I$5="","",I$5)</f>
        <v>46119</v>
      </c>
      <c r="J30" s="48" t="n">
        <f>IF(J$5="","",J$5)</f>
        <v>46120</v>
      </c>
      <c r="K30" s="48" t="n">
        <f>IF(K$5="","",K$5)</f>
        <v>46121</v>
      </c>
      <c r="L30" s="48" t="n">
        <f>IF(L$5="","",L$5)</f>
        <v>46122</v>
      </c>
      <c r="M30" s="48" t="n">
        <f>IF(M$5="","",M$5)</f>
        <v>46123</v>
      </c>
      <c r="N30" s="48" t="n">
        <f>IF(N$5="","",N$5)</f>
        <v>46124</v>
      </c>
      <c r="O30" s="48" t="n">
        <f>IF(O$5="","",O$5)</f>
        <v>46125</v>
      </c>
      <c r="P30" s="48" t="n">
        <f>IF(P$5="","",P$5)</f>
        <v>46126</v>
      </c>
      <c r="Q30" s="48" t="n">
        <f>IF(Q$5="","",Q$5)</f>
        <v>46127</v>
      </c>
      <c r="R30" s="48" t="n">
        <f>IF(R$5="","",R$5)</f>
        <v>46128</v>
      </c>
      <c r="S30" s="48" t="n">
        <f>IF(S$5="","",S$5)</f>
        <v>46129</v>
      </c>
      <c r="T30" s="48" t="n">
        <f>IF(T$5="","",T$5)</f>
        <v>46130</v>
      </c>
      <c r="U30" s="48" t="n">
        <f>IF(U$5="","",U$5)</f>
        <v>46131</v>
      </c>
      <c r="V30" s="48" t="n">
        <f>IF(V$5="","",V$5)</f>
        <v>46132</v>
      </c>
      <c r="W30" s="48" t="n">
        <f>IF(W$5="","",W$5)</f>
        <v>46133</v>
      </c>
      <c r="X30" s="48" t="n">
        <f>IF(X$5="","",X$5)</f>
        <v>46134</v>
      </c>
      <c r="Y30" s="48" t="n">
        <f>IF(Y$5="","",Y$5)</f>
        <v>46135</v>
      </c>
      <c r="Z30" s="48" t="n">
        <f>IF(Z$5="","",Z$5)</f>
        <v>46136</v>
      </c>
      <c r="AA30" s="48" t="n">
        <f>IF(AA$5="","",AA$5)</f>
        <v>46137</v>
      </c>
      <c r="AB30" s="48" t="n">
        <f>IF(AB$5="","",AB$5)</f>
        <v>46138</v>
      </c>
      <c r="AC30" s="48" t="n">
        <f>IF(AC$5="","",AC$5)</f>
        <v>46139</v>
      </c>
      <c r="AD30" s="48" t="n">
        <f>IF(AD$5="","",AD$5)</f>
        <v>46140</v>
      </c>
      <c r="AE30" s="48" t="n">
        <f>IF(AE$5="","",AE$5)</f>
        <v>46141</v>
      </c>
      <c r="AF30" s="48" t="n">
        <f>IF(AF$5="","",AF$5)</f>
        <v>46142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46113</v>
      </c>
      <c r="D31" s="142" t="n">
        <f>IF(D$5="","",D$5)</f>
        <v>46114</v>
      </c>
      <c r="E31" s="142" t="n">
        <f>IF(E$5="","",E$5)</f>
        <v>46115</v>
      </c>
      <c r="F31" s="142" t="n">
        <f>IF(F$5="","",F$5)</f>
        <v>46116</v>
      </c>
      <c r="G31" s="142" t="n">
        <f>IF(G$5="","",G$5)</f>
        <v>46117</v>
      </c>
      <c r="H31" s="142" t="n">
        <f>IF(H$5="","",H$5)</f>
        <v>46118</v>
      </c>
      <c r="I31" s="142" t="n">
        <f>IF(I$5="","",I$5)</f>
        <v>46119</v>
      </c>
      <c r="J31" s="142" t="n">
        <f>IF(J$5="","",J$5)</f>
        <v>46120</v>
      </c>
      <c r="K31" s="142" t="n">
        <f>IF(K$5="","",K$5)</f>
        <v>46121</v>
      </c>
      <c r="L31" s="142" t="n">
        <f>IF(L$5="","",L$5)</f>
        <v>46122</v>
      </c>
      <c r="M31" s="142" t="n">
        <f>IF(M$5="","",M$5)</f>
        <v>46123</v>
      </c>
      <c r="N31" s="142" t="n">
        <f>IF(N$5="","",N$5)</f>
        <v>46124</v>
      </c>
      <c r="O31" s="142" t="n">
        <f>IF(O$5="","",O$5)</f>
        <v>46125</v>
      </c>
      <c r="P31" s="142" t="n">
        <f>IF(P$5="","",P$5)</f>
        <v>46126</v>
      </c>
      <c r="Q31" s="142" t="n">
        <f>IF(Q$5="","",Q$5)</f>
        <v>46127</v>
      </c>
      <c r="R31" s="142" t="n">
        <f>IF(R$5="","",R$5)</f>
        <v>46128</v>
      </c>
      <c r="S31" s="142" t="n">
        <f>IF(S$5="","",S$5)</f>
        <v>46129</v>
      </c>
      <c r="T31" s="142" t="n">
        <f>IF(T$5="","",T$5)</f>
        <v>46130</v>
      </c>
      <c r="U31" s="142" t="n">
        <f>IF(U$5="","",U$5)</f>
        <v>46131</v>
      </c>
      <c r="V31" s="142" t="n">
        <f>IF(V$5="","",V$5)</f>
        <v>46132</v>
      </c>
      <c r="W31" s="142" t="n">
        <f>IF(W$5="","",W$5)</f>
        <v>46133</v>
      </c>
      <c r="X31" s="142" t="n">
        <f>IF(X$5="","",X$5)</f>
        <v>46134</v>
      </c>
      <c r="Y31" s="142" t="n">
        <f>IF(Y$5="","",Y$5)</f>
        <v>46135</v>
      </c>
      <c r="Z31" s="142" t="n">
        <f>IF(Z$5="","",Z$5)</f>
        <v>46136</v>
      </c>
      <c r="AA31" s="142" t="n">
        <f>IF(AA$5="","",AA$5)</f>
        <v>46137</v>
      </c>
      <c r="AB31" s="142" t="n">
        <f>IF(AB$5="","",AB$5)</f>
        <v>46138</v>
      </c>
      <c r="AC31" s="142" t="n">
        <f>IF(AC$5="","",AC$5)</f>
        <v>46139</v>
      </c>
      <c r="AD31" s="142" t="n">
        <f>IF(AD$5="","",AD$5)</f>
        <v>46140</v>
      </c>
      <c r="AE31" s="142" t="n">
        <f>IF(AE$5="","",AE$5)</f>
        <v>46141</v>
      </c>
      <c r="AF31" s="142" t="n">
        <f>IF(AF$5="","",AF$5)</f>
        <v>46142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summary'!$C$4,4,1),DATE('Billable summary'!$C$4,5,0))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88" priority="1">
      <formula>OR(C$5="",WEEKDAY(C$5,2)&gt;5)</formula>
    </cfRule>
    <cfRule type="expression" dxfId="89" priority="2">
      <formula>AND(C$5="",NOT(ISBLANK(C7)))</formula>
    </cfRule>
  </conditionalFormatting>
  <conditionalFormatting sqref="C20:AG25">
    <cfRule type="expression" dxfId="90" priority="3">
      <formula>OR(C$5="",WEEKDAY(C$5,2)&gt;5)</formula>
    </cfRule>
    <cfRule type="expression" dxfId="91" priority="4">
      <formula>AND(C$5="",NOT(ISBLANK(C20)))</formula>
    </cfRule>
  </conditionalFormatting>
  <conditionalFormatting sqref="C32:AG35">
    <cfRule type="expression" dxfId="92" priority="5">
      <formula>OR(C$5="",WEEKDAY(C$5,2)&gt;5)</formula>
    </cfRule>
    <cfRule type="expression" dxfId="93" priority="6">
      <formula>AND(C$5="",NOT(ISBLANK(C32)))</formula>
    </cfRule>
  </conditionalFormatting>
  <conditionalFormatting sqref="I43:K43">
    <cfRule type="expression" dxfId="94" priority="7">
      <formula>AND(ISNUMBER($I$43),$I$43&gt;=$I$44)</formula>
    </cfRule>
    <cfRule type="expression" dxfId="95" priority="8">
      <formula>AND(ISNUMBER($I$43),$I$43&lt;$I$44)</formula>
    </cfRule>
  </conditionalFormatting>
  <conditionalFormatting sqref="B51:AH51">
    <cfRule type="containsText" dxfId="96" priority="9" operator="containsText" text="Check"/>
    <cfRule type="containsText" dxfId="97" priority="10" operator="containsText" text="Invalid"/>
    <cfRule type="containsText" dxfId="98" priority="11" operator="containsText" text="Negative"/>
    <cfRule type="containsText" dxfId="9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summary'!$C$4,5,1),"mmmm yyyy")</f>
        <v>May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summary'!$C$4,6,0)),DATE('Billable summary'!$C$4,5,1),"")</f>
        <v>46143</v>
      </c>
      <c r="D5" s="48" t="n">
        <f>IF(2&lt;=DAY(DATE('Billable summary'!$C$4,6,0)),DATE('Billable summary'!$C$4,5,2),"")</f>
        <v>46144</v>
      </c>
      <c r="E5" s="48" t="n">
        <f>IF(3&lt;=DAY(DATE('Billable summary'!$C$4,6,0)),DATE('Billable summary'!$C$4,5,3),"")</f>
        <v>46145</v>
      </c>
      <c r="F5" s="48" t="n">
        <f>IF(4&lt;=DAY(DATE('Billable summary'!$C$4,6,0)),DATE('Billable summary'!$C$4,5,4),"")</f>
        <v>46146</v>
      </c>
      <c r="G5" s="48" t="n">
        <f>IF(5&lt;=DAY(DATE('Billable summary'!$C$4,6,0)),DATE('Billable summary'!$C$4,5,5),"")</f>
        <v>46147</v>
      </c>
      <c r="H5" s="48" t="n">
        <f>IF(6&lt;=DAY(DATE('Billable summary'!$C$4,6,0)),DATE('Billable summary'!$C$4,5,6),"")</f>
        <v>46148</v>
      </c>
      <c r="I5" s="48" t="n">
        <f>IF(7&lt;=DAY(DATE('Billable summary'!$C$4,6,0)),DATE('Billable summary'!$C$4,5,7),"")</f>
        <v>46149</v>
      </c>
      <c r="J5" s="48" t="n">
        <f>IF(8&lt;=DAY(DATE('Billable summary'!$C$4,6,0)),DATE('Billable summary'!$C$4,5,8),"")</f>
        <v>46150</v>
      </c>
      <c r="K5" s="48" t="n">
        <f>IF(9&lt;=DAY(DATE('Billable summary'!$C$4,6,0)),DATE('Billable summary'!$C$4,5,9),"")</f>
        <v>46151</v>
      </c>
      <c r="L5" s="48" t="n">
        <f>IF(10&lt;=DAY(DATE('Billable summary'!$C$4,6,0)),DATE('Billable summary'!$C$4,5,10),"")</f>
        <v>46152</v>
      </c>
      <c r="M5" s="48" t="n">
        <f>IF(11&lt;=DAY(DATE('Billable summary'!$C$4,6,0)),DATE('Billable summary'!$C$4,5,11),"")</f>
        <v>46153</v>
      </c>
      <c r="N5" s="48" t="n">
        <f>IF(12&lt;=DAY(DATE('Billable summary'!$C$4,6,0)),DATE('Billable summary'!$C$4,5,12),"")</f>
        <v>46154</v>
      </c>
      <c r="O5" s="48" t="n">
        <f>IF(13&lt;=DAY(DATE('Billable summary'!$C$4,6,0)),DATE('Billable summary'!$C$4,5,13),"")</f>
        <v>46155</v>
      </c>
      <c r="P5" s="48" t="n">
        <f>IF(14&lt;=DAY(DATE('Billable summary'!$C$4,6,0)),DATE('Billable summary'!$C$4,5,14),"")</f>
        <v>46156</v>
      </c>
      <c r="Q5" s="48" t="n">
        <f>IF(15&lt;=DAY(DATE('Billable summary'!$C$4,6,0)),DATE('Billable summary'!$C$4,5,15),"")</f>
        <v>46157</v>
      </c>
      <c r="R5" s="48" t="n">
        <f>IF(16&lt;=DAY(DATE('Billable summary'!$C$4,6,0)),DATE('Billable summary'!$C$4,5,16),"")</f>
        <v>46158</v>
      </c>
      <c r="S5" s="48" t="n">
        <f>IF(17&lt;=DAY(DATE('Billable summary'!$C$4,6,0)),DATE('Billable summary'!$C$4,5,17),"")</f>
        <v>46159</v>
      </c>
      <c r="T5" s="48" t="n">
        <f>IF(18&lt;=DAY(DATE('Billable summary'!$C$4,6,0)),DATE('Billable summary'!$C$4,5,18),"")</f>
        <v>46160</v>
      </c>
      <c r="U5" s="48" t="n">
        <f>IF(19&lt;=DAY(DATE('Billable summary'!$C$4,6,0)),DATE('Billable summary'!$C$4,5,19),"")</f>
        <v>46161</v>
      </c>
      <c r="V5" s="48" t="n">
        <f>IF(20&lt;=DAY(DATE('Billable summary'!$C$4,6,0)),DATE('Billable summary'!$C$4,5,20),"")</f>
        <v>46162</v>
      </c>
      <c r="W5" s="48" t="n">
        <f>IF(21&lt;=DAY(DATE('Billable summary'!$C$4,6,0)),DATE('Billable summary'!$C$4,5,21),"")</f>
        <v>46163</v>
      </c>
      <c r="X5" s="48" t="n">
        <f>IF(22&lt;=DAY(DATE('Billable summary'!$C$4,6,0)),DATE('Billable summary'!$C$4,5,22),"")</f>
        <v>46164</v>
      </c>
      <c r="Y5" s="48" t="n">
        <f>IF(23&lt;=DAY(DATE('Billable summary'!$C$4,6,0)),DATE('Billable summary'!$C$4,5,23),"")</f>
        <v>46165</v>
      </c>
      <c r="Z5" s="48" t="n">
        <f>IF(24&lt;=DAY(DATE('Billable summary'!$C$4,6,0)),DATE('Billable summary'!$C$4,5,24),"")</f>
        <v>46166</v>
      </c>
      <c r="AA5" s="48" t="n">
        <f>IF(25&lt;=DAY(DATE('Billable summary'!$C$4,6,0)),DATE('Billable summary'!$C$4,5,25),"")</f>
        <v>46167</v>
      </c>
      <c r="AB5" s="48" t="n">
        <f>IF(26&lt;=DAY(DATE('Billable summary'!$C$4,6,0)),DATE('Billable summary'!$C$4,5,26),"")</f>
        <v>46168</v>
      </c>
      <c r="AC5" s="48" t="n">
        <f>IF(27&lt;=DAY(DATE('Billable summary'!$C$4,6,0)),DATE('Billable summary'!$C$4,5,27),"")</f>
        <v>46169</v>
      </c>
      <c r="AD5" s="48" t="n">
        <f>IF(28&lt;=DAY(DATE('Billable summary'!$C$4,6,0)),DATE('Billable summary'!$C$4,5,28),"")</f>
        <v>46170</v>
      </c>
      <c r="AE5" s="48" t="n">
        <f>IF(29&lt;=DAY(DATE('Billable summary'!$C$4,6,0)),DATE('Billable summary'!$C$4,5,29),"")</f>
        <v>46171</v>
      </c>
      <c r="AF5" s="48" t="n">
        <f>IF(30&lt;=DAY(DATE('Billable summary'!$C$4,6,0)),DATE('Billable summary'!$C$4,5,30),"")</f>
        <v>46172</v>
      </c>
      <c r="AG5" s="48" t="n">
        <f>IF(31&lt;=DAY(DATE('Billable summary'!$C$4,6,0)),DATE('Billable summary'!$C$4,5,31),"")</f>
        <v>46173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46143</v>
      </c>
      <c r="D6" s="142" t="n">
        <f>IF(D$5="","",D$5)</f>
        <v>46144</v>
      </c>
      <c r="E6" s="142" t="n">
        <f>IF(E$5="","",E$5)</f>
        <v>46145</v>
      </c>
      <c r="F6" s="142" t="n">
        <f>IF(F$5="","",F$5)</f>
        <v>46146</v>
      </c>
      <c r="G6" s="142" t="n">
        <f>IF(G$5="","",G$5)</f>
        <v>46147</v>
      </c>
      <c r="H6" s="142" t="n">
        <f>IF(H$5="","",H$5)</f>
        <v>46148</v>
      </c>
      <c r="I6" s="142" t="n">
        <f>IF(I$5="","",I$5)</f>
        <v>46149</v>
      </c>
      <c r="J6" s="142" t="n">
        <f>IF(J$5="","",J$5)</f>
        <v>46150</v>
      </c>
      <c r="K6" s="142" t="n">
        <f>IF(K$5="","",K$5)</f>
        <v>46151</v>
      </c>
      <c r="L6" s="142" t="n">
        <f>IF(L$5="","",L$5)</f>
        <v>46152</v>
      </c>
      <c r="M6" s="142" t="n">
        <f>IF(M$5="","",M$5)</f>
        <v>46153</v>
      </c>
      <c r="N6" s="142" t="n">
        <f>IF(N$5="","",N$5)</f>
        <v>46154</v>
      </c>
      <c r="O6" s="142" t="n">
        <f>IF(O$5="","",O$5)</f>
        <v>46155</v>
      </c>
      <c r="P6" s="142" t="n">
        <f>IF(P$5="","",P$5)</f>
        <v>46156</v>
      </c>
      <c r="Q6" s="142" t="n">
        <f>IF(Q$5="","",Q$5)</f>
        <v>46157</v>
      </c>
      <c r="R6" s="142" t="n">
        <f>IF(R$5="","",R$5)</f>
        <v>46158</v>
      </c>
      <c r="S6" s="142" t="n">
        <f>IF(S$5="","",S$5)</f>
        <v>46159</v>
      </c>
      <c r="T6" s="142" t="n">
        <f>IF(T$5="","",T$5)</f>
        <v>46160</v>
      </c>
      <c r="U6" s="142" t="n">
        <f>IF(U$5="","",U$5)</f>
        <v>46161</v>
      </c>
      <c r="V6" s="142" t="n">
        <f>IF(V$5="","",V$5)</f>
        <v>46162</v>
      </c>
      <c r="W6" s="142" t="n">
        <f>IF(W$5="","",W$5)</f>
        <v>46163</v>
      </c>
      <c r="X6" s="142" t="n">
        <f>IF(X$5="","",X$5)</f>
        <v>46164</v>
      </c>
      <c r="Y6" s="142" t="n">
        <f>IF(Y$5="","",Y$5)</f>
        <v>46165</v>
      </c>
      <c r="Z6" s="142" t="n">
        <f>IF(Z$5="","",Z$5)</f>
        <v>46166</v>
      </c>
      <c r="AA6" s="142" t="n">
        <f>IF(AA$5="","",AA$5)</f>
        <v>46167</v>
      </c>
      <c r="AB6" s="142" t="n">
        <f>IF(AB$5="","",AB$5)</f>
        <v>46168</v>
      </c>
      <c r="AC6" s="142" t="n">
        <f>IF(AC$5="","",AC$5)</f>
        <v>46169</v>
      </c>
      <c r="AD6" s="142" t="n">
        <f>IF(AD$5="","",AD$5)</f>
        <v>46170</v>
      </c>
      <c r="AE6" s="142" t="n">
        <f>IF(AE$5="","",AE$5)</f>
        <v>46171</v>
      </c>
      <c r="AF6" s="142" t="n">
        <f>IF(AF$5="","",AF$5)</f>
        <v>46172</v>
      </c>
      <c r="AG6" s="142" t="n">
        <f>IF(AG$5="","",AG$5)</f>
        <v>46173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46143</v>
      </c>
      <c r="D19" s="142" t="n">
        <f>IF(D$5="","",D$5)</f>
        <v>46144</v>
      </c>
      <c r="E19" s="142" t="n">
        <f>IF(E$5="","",E$5)</f>
        <v>46145</v>
      </c>
      <c r="F19" s="142" t="n">
        <f>IF(F$5="","",F$5)</f>
        <v>46146</v>
      </c>
      <c r="G19" s="142" t="n">
        <f>IF(G$5="","",G$5)</f>
        <v>46147</v>
      </c>
      <c r="H19" s="142" t="n">
        <f>IF(H$5="","",H$5)</f>
        <v>46148</v>
      </c>
      <c r="I19" s="142" t="n">
        <f>IF(I$5="","",I$5)</f>
        <v>46149</v>
      </c>
      <c r="J19" s="142" t="n">
        <f>IF(J$5="","",J$5)</f>
        <v>46150</v>
      </c>
      <c r="K19" s="142" t="n">
        <f>IF(K$5="","",K$5)</f>
        <v>46151</v>
      </c>
      <c r="L19" s="142" t="n">
        <f>IF(L$5="","",L$5)</f>
        <v>46152</v>
      </c>
      <c r="M19" s="142" t="n">
        <f>IF(M$5="","",M$5)</f>
        <v>46153</v>
      </c>
      <c r="N19" s="142" t="n">
        <f>IF(N$5="","",N$5)</f>
        <v>46154</v>
      </c>
      <c r="O19" s="142" t="n">
        <f>IF(O$5="","",O$5)</f>
        <v>46155</v>
      </c>
      <c r="P19" s="142" t="n">
        <f>IF(P$5="","",P$5)</f>
        <v>46156</v>
      </c>
      <c r="Q19" s="142" t="n">
        <f>IF(Q$5="","",Q$5)</f>
        <v>46157</v>
      </c>
      <c r="R19" s="142" t="n">
        <f>IF(R$5="","",R$5)</f>
        <v>46158</v>
      </c>
      <c r="S19" s="142" t="n">
        <f>IF(S$5="","",S$5)</f>
        <v>46159</v>
      </c>
      <c r="T19" s="142" t="n">
        <f>IF(T$5="","",T$5)</f>
        <v>46160</v>
      </c>
      <c r="U19" s="142" t="n">
        <f>IF(U$5="","",U$5)</f>
        <v>46161</v>
      </c>
      <c r="V19" s="142" t="n">
        <f>IF(V$5="","",V$5)</f>
        <v>46162</v>
      </c>
      <c r="W19" s="142" t="n">
        <f>IF(W$5="","",W$5)</f>
        <v>46163</v>
      </c>
      <c r="X19" s="142" t="n">
        <f>IF(X$5="","",X$5)</f>
        <v>46164</v>
      </c>
      <c r="Y19" s="142" t="n">
        <f>IF(Y$5="","",Y$5)</f>
        <v>46165</v>
      </c>
      <c r="Z19" s="142" t="n">
        <f>IF(Z$5="","",Z$5)</f>
        <v>46166</v>
      </c>
      <c r="AA19" s="142" t="n">
        <f>IF(AA$5="","",AA$5)</f>
        <v>46167</v>
      </c>
      <c r="AB19" s="142" t="n">
        <f>IF(AB$5="","",AB$5)</f>
        <v>46168</v>
      </c>
      <c r="AC19" s="142" t="n">
        <f>IF(AC$5="","",AC$5)</f>
        <v>46169</v>
      </c>
      <c r="AD19" s="142" t="n">
        <f>IF(AD$5="","",AD$5)</f>
        <v>46170</v>
      </c>
      <c r="AE19" s="142" t="n">
        <f>IF(AE$5="","",AE$5)</f>
        <v>46171</v>
      </c>
      <c r="AF19" s="142" t="n">
        <f>IF(AF$5="","",AF$5)</f>
        <v>46172</v>
      </c>
      <c r="AG19" s="142" t="n">
        <f>IF(AG$5="","",AG$5)</f>
        <v>46173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46143</v>
      </c>
      <c r="D30" s="48" t="n">
        <f>IF(D$5="","",D$5)</f>
        <v>46144</v>
      </c>
      <c r="E30" s="48" t="n">
        <f>IF(E$5="","",E$5)</f>
        <v>46145</v>
      </c>
      <c r="F30" s="48" t="n">
        <f>IF(F$5="","",F$5)</f>
        <v>46146</v>
      </c>
      <c r="G30" s="48" t="n">
        <f>IF(G$5="","",G$5)</f>
        <v>46147</v>
      </c>
      <c r="H30" s="48" t="n">
        <f>IF(H$5="","",H$5)</f>
        <v>46148</v>
      </c>
      <c r="I30" s="48" t="n">
        <f>IF(I$5="","",I$5)</f>
        <v>46149</v>
      </c>
      <c r="J30" s="48" t="n">
        <f>IF(J$5="","",J$5)</f>
        <v>46150</v>
      </c>
      <c r="K30" s="48" t="n">
        <f>IF(K$5="","",K$5)</f>
        <v>46151</v>
      </c>
      <c r="L30" s="48" t="n">
        <f>IF(L$5="","",L$5)</f>
        <v>46152</v>
      </c>
      <c r="M30" s="48" t="n">
        <f>IF(M$5="","",M$5)</f>
        <v>46153</v>
      </c>
      <c r="N30" s="48" t="n">
        <f>IF(N$5="","",N$5)</f>
        <v>46154</v>
      </c>
      <c r="O30" s="48" t="n">
        <f>IF(O$5="","",O$5)</f>
        <v>46155</v>
      </c>
      <c r="P30" s="48" t="n">
        <f>IF(P$5="","",P$5)</f>
        <v>46156</v>
      </c>
      <c r="Q30" s="48" t="n">
        <f>IF(Q$5="","",Q$5)</f>
        <v>46157</v>
      </c>
      <c r="R30" s="48" t="n">
        <f>IF(R$5="","",R$5)</f>
        <v>46158</v>
      </c>
      <c r="S30" s="48" t="n">
        <f>IF(S$5="","",S$5)</f>
        <v>46159</v>
      </c>
      <c r="T30" s="48" t="n">
        <f>IF(T$5="","",T$5)</f>
        <v>46160</v>
      </c>
      <c r="U30" s="48" t="n">
        <f>IF(U$5="","",U$5)</f>
        <v>46161</v>
      </c>
      <c r="V30" s="48" t="n">
        <f>IF(V$5="","",V$5)</f>
        <v>46162</v>
      </c>
      <c r="W30" s="48" t="n">
        <f>IF(W$5="","",W$5)</f>
        <v>46163</v>
      </c>
      <c r="X30" s="48" t="n">
        <f>IF(X$5="","",X$5)</f>
        <v>46164</v>
      </c>
      <c r="Y30" s="48" t="n">
        <f>IF(Y$5="","",Y$5)</f>
        <v>46165</v>
      </c>
      <c r="Z30" s="48" t="n">
        <f>IF(Z$5="","",Z$5)</f>
        <v>46166</v>
      </c>
      <c r="AA30" s="48" t="n">
        <f>IF(AA$5="","",AA$5)</f>
        <v>46167</v>
      </c>
      <c r="AB30" s="48" t="n">
        <f>IF(AB$5="","",AB$5)</f>
        <v>46168</v>
      </c>
      <c r="AC30" s="48" t="n">
        <f>IF(AC$5="","",AC$5)</f>
        <v>46169</v>
      </c>
      <c r="AD30" s="48" t="n">
        <f>IF(AD$5="","",AD$5)</f>
        <v>46170</v>
      </c>
      <c r="AE30" s="48" t="n">
        <f>IF(AE$5="","",AE$5)</f>
        <v>46171</v>
      </c>
      <c r="AF30" s="48" t="n">
        <f>IF(AF$5="","",AF$5)</f>
        <v>46172</v>
      </c>
      <c r="AG30" s="48" t="n">
        <f>IF(AG$5="","",AG$5)</f>
        <v>46173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46143</v>
      </c>
      <c r="D31" s="142" t="n">
        <f>IF(D$5="","",D$5)</f>
        <v>46144</v>
      </c>
      <c r="E31" s="142" t="n">
        <f>IF(E$5="","",E$5)</f>
        <v>46145</v>
      </c>
      <c r="F31" s="142" t="n">
        <f>IF(F$5="","",F$5)</f>
        <v>46146</v>
      </c>
      <c r="G31" s="142" t="n">
        <f>IF(G$5="","",G$5)</f>
        <v>46147</v>
      </c>
      <c r="H31" s="142" t="n">
        <f>IF(H$5="","",H$5)</f>
        <v>46148</v>
      </c>
      <c r="I31" s="142" t="n">
        <f>IF(I$5="","",I$5)</f>
        <v>46149</v>
      </c>
      <c r="J31" s="142" t="n">
        <f>IF(J$5="","",J$5)</f>
        <v>46150</v>
      </c>
      <c r="K31" s="142" t="n">
        <f>IF(K$5="","",K$5)</f>
        <v>46151</v>
      </c>
      <c r="L31" s="142" t="n">
        <f>IF(L$5="","",L$5)</f>
        <v>46152</v>
      </c>
      <c r="M31" s="142" t="n">
        <f>IF(M$5="","",M$5)</f>
        <v>46153</v>
      </c>
      <c r="N31" s="142" t="n">
        <f>IF(N$5="","",N$5)</f>
        <v>46154</v>
      </c>
      <c r="O31" s="142" t="n">
        <f>IF(O$5="","",O$5)</f>
        <v>46155</v>
      </c>
      <c r="P31" s="142" t="n">
        <f>IF(P$5="","",P$5)</f>
        <v>46156</v>
      </c>
      <c r="Q31" s="142" t="n">
        <f>IF(Q$5="","",Q$5)</f>
        <v>46157</v>
      </c>
      <c r="R31" s="142" t="n">
        <f>IF(R$5="","",R$5)</f>
        <v>46158</v>
      </c>
      <c r="S31" s="142" t="n">
        <f>IF(S$5="","",S$5)</f>
        <v>46159</v>
      </c>
      <c r="T31" s="142" t="n">
        <f>IF(T$5="","",T$5)</f>
        <v>46160</v>
      </c>
      <c r="U31" s="142" t="n">
        <f>IF(U$5="","",U$5)</f>
        <v>46161</v>
      </c>
      <c r="V31" s="142" t="n">
        <f>IF(V$5="","",V$5)</f>
        <v>46162</v>
      </c>
      <c r="W31" s="142" t="n">
        <f>IF(W$5="","",W$5)</f>
        <v>46163</v>
      </c>
      <c r="X31" s="142" t="n">
        <f>IF(X$5="","",X$5)</f>
        <v>46164</v>
      </c>
      <c r="Y31" s="142" t="n">
        <f>IF(Y$5="","",Y$5)</f>
        <v>46165</v>
      </c>
      <c r="Z31" s="142" t="n">
        <f>IF(Z$5="","",Z$5)</f>
        <v>46166</v>
      </c>
      <c r="AA31" s="142" t="n">
        <f>IF(AA$5="","",AA$5)</f>
        <v>46167</v>
      </c>
      <c r="AB31" s="142" t="n">
        <f>IF(AB$5="","",AB$5)</f>
        <v>46168</v>
      </c>
      <c r="AC31" s="142" t="n">
        <f>IF(AC$5="","",AC$5)</f>
        <v>46169</v>
      </c>
      <c r="AD31" s="142" t="n">
        <f>IF(AD$5="","",AD$5)</f>
        <v>46170</v>
      </c>
      <c r="AE31" s="142" t="n">
        <f>IF(AE$5="","",AE$5)</f>
        <v>46171</v>
      </c>
      <c r="AF31" s="142" t="n">
        <f>IF(AF$5="","",AF$5)</f>
        <v>46172</v>
      </c>
      <c r="AG31" s="142" t="n">
        <f>IF(AG$5="","",AG$5)</f>
        <v>46173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summary'!$C$4,5,1),DATE('Billable summary'!$C$4,6,0))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00" priority="1">
      <formula>OR(C$5="",WEEKDAY(C$5,2)&gt;5)</formula>
    </cfRule>
    <cfRule type="expression" dxfId="101" priority="2">
      <formula>AND(C$5="",NOT(ISBLANK(C7)))</formula>
    </cfRule>
  </conditionalFormatting>
  <conditionalFormatting sqref="C20:AG25">
    <cfRule type="expression" dxfId="102" priority="3">
      <formula>OR(C$5="",WEEKDAY(C$5,2)&gt;5)</formula>
    </cfRule>
    <cfRule type="expression" dxfId="103" priority="4">
      <formula>AND(C$5="",NOT(ISBLANK(C20)))</formula>
    </cfRule>
  </conditionalFormatting>
  <conditionalFormatting sqref="C32:AG35">
    <cfRule type="expression" dxfId="104" priority="5">
      <formula>OR(C$5="",WEEKDAY(C$5,2)&gt;5)</formula>
    </cfRule>
    <cfRule type="expression" dxfId="105" priority="6">
      <formula>AND(C$5="",NOT(ISBLANK(C32)))</formula>
    </cfRule>
  </conditionalFormatting>
  <conditionalFormatting sqref="I43:K43">
    <cfRule type="expression" dxfId="106" priority="7">
      <formula>AND(ISNUMBER($I$43),$I$43&gt;=$I$44)</formula>
    </cfRule>
    <cfRule type="expression" dxfId="107" priority="8">
      <formula>AND(ISNUMBER($I$43),$I$43&lt;$I$44)</formula>
    </cfRule>
  </conditionalFormatting>
  <conditionalFormatting sqref="B51:AH51">
    <cfRule type="containsText" dxfId="108" priority="9" operator="containsText" text="Check"/>
    <cfRule type="containsText" dxfId="109" priority="10" operator="containsText" text="Invalid"/>
    <cfRule type="containsText" dxfId="110" priority="11" operator="containsText" text="Negative"/>
    <cfRule type="containsText" dxfId="11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summary'!$C$4,6,1),"mmmm yyyy")</f>
        <v>June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summary'!$C$4,7,0)),DATE('Billable summary'!$C$4,6,1),"")</f>
        <v>46174</v>
      </c>
      <c r="D5" s="48" t="n">
        <f>IF(2&lt;=DAY(DATE('Billable summary'!$C$4,7,0)),DATE('Billable summary'!$C$4,6,2),"")</f>
        <v>46175</v>
      </c>
      <c r="E5" s="48" t="n">
        <f>IF(3&lt;=DAY(DATE('Billable summary'!$C$4,7,0)),DATE('Billable summary'!$C$4,6,3),"")</f>
        <v>46176</v>
      </c>
      <c r="F5" s="48" t="n">
        <f>IF(4&lt;=DAY(DATE('Billable summary'!$C$4,7,0)),DATE('Billable summary'!$C$4,6,4),"")</f>
        <v>46177</v>
      </c>
      <c r="G5" s="48" t="n">
        <f>IF(5&lt;=DAY(DATE('Billable summary'!$C$4,7,0)),DATE('Billable summary'!$C$4,6,5),"")</f>
        <v>46178</v>
      </c>
      <c r="H5" s="48" t="n">
        <f>IF(6&lt;=DAY(DATE('Billable summary'!$C$4,7,0)),DATE('Billable summary'!$C$4,6,6),"")</f>
        <v>46179</v>
      </c>
      <c r="I5" s="48" t="n">
        <f>IF(7&lt;=DAY(DATE('Billable summary'!$C$4,7,0)),DATE('Billable summary'!$C$4,6,7),"")</f>
        <v>46180</v>
      </c>
      <c r="J5" s="48" t="n">
        <f>IF(8&lt;=DAY(DATE('Billable summary'!$C$4,7,0)),DATE('Billable summary'!$C$4,6,8),"")</f>
        <v>46181</v>
      </c>
      <c r="K5" s="48" t="n">
        <f>IF(9&lt;=DAY(DATE('Billable summary'!$C$4,7,0)),DATE('Billable summary'!$C$4,6,9),"")</f>
        <v>46182</v>
      </c>
      <c r="L5" s="48" t="n">
        <f>IF(10&lt;=DAY(DATE('Billable summary'!$C$4,7,0)),DATE('Billable summary'!$C$4,6,10),"")</f>
        <v>46183</v>
      </c>
      <c r="M5" s="48" t="n">
        <f>IF(11&lt;=DAY(DATE('Billable summary'!$C$4,7,0)),DATE('Billable summary'!$C$4,6,11),"")</f>
        <v>46184</v>
      </c>
      <c r="N5" s="48" t="n">
        <f>IF(12&lt;=DAY(DATE('Billable summary'!$C$4,7,0)),DATE('Billable summary'!$C$4,6,12),"")</f>
        <v>46185</v>
      </c>
      <c r="O5" s="48" t="n">
        <f>IF(13&lt;=DAY(DATE('Billable summary'!$C$4,7,0)),DATE('Billable summary'!$C$4,6,13),"")</f>
        <v>46186</v>
      </c>
      <c r="P5" s="48" t="n">
        <f>IF(14&lt;=DAY(DATE('Billable summary'!$C$4,7,0)),DATE('Billable summary'!$C$4,6,14),"")</f>
        <v>46187</v>
      </c>
      <c r="Q5" s="48" t="n">
        <f>IF(15&lt;=DAY(DATE('Billable summary'!$C$4,7,0)),DATE('Billable summary'!$C$4,6,15),"")</f>
        <v>46188</v>
      </c>
      <c r="R5" s="48" t="n">
        <f>IF(16&lt;=DAY(DATE('Billable summary'!$C$4,7,0)),DATE('Billable summary'!$C$4,6,16),"")</f>
        <v>46189</v>
      </c>
      <c r="S5" s="48" t="n">
        <f>IF(17&lt;=DAY(DATE('Billable summary'!$C$4,7,0)),DATE('Billable summary'!$C$4,6,17),"")</f>
        <v>46190</v>
      </c>
      <c r="T5" s="48" t="n">
        <f>IF(18&lt;=DAY(DATE('Billable summary'!$C$4,7,0)),DATE('Billable summary'!$C$4,6,18),"")</f>
        <v>46191</v>
      </c>
      <c r="U5" s="48" t="n">
        <f>IF(19&lt;=DAY(DATE('Billable summary'!$C$4,7,0)),DATE('Billable summary'!$C$4,6,19),"")</f>
        <v>46192</v>
      </c>
      <c r="V5" s="48" t="n">
        <f>IF(20&lt;=DAY(DATE('Billable summary'!$C$4,7,0)),DATE('Billable summary'!$C$4,6,20),"")</f>
        <v>46193</v>
      </c>
      <c r="W5" s="48" t="n">
        <f>IF(21&lt;=DAY(DATE('Billable summary'!$C$4,7,0)),DATE('Billable summary'!$C$4,6,21),"")</f>
        <v>46194</v>
      </c>
      <c r="X5" s="48" t="n">
        <f>IF(22&lt;=DAY(DATE('Billable summary'!$C$4,7,0)),DATE('Billable summary'!$C$4,6,22),"")</f>
        <v>46195</v>
      </c>
      <c r="Y5" s="48" t="n">
        <f>IF(23&lt;=DAY(DATE('Billable summary'!$C$4,7,0)),DATE('Billable summary'!$C$4,6,23),"")</f>
        <v>46196</v>
      </c>
      <c r="Z5" s="48" t="n">
        <f>IF(24&lt;=DAY(DATE('Billable summary'!$C$4,7,0)),DATE('Billable summary'!$C$4,6,24),"")</f>
        <v>46197</v>
      </c>
      <c r="AA5" s="48" t="n">
        <f>IF(25&lt;=DAY(DATE('Billable summary'!$C$4,7,0)),DATE('Billable summary'!$C$4,6,25),"")</f>
        <v>46198</v>
      </c>
      <c r="AB5" s="48" t="n">
        <f>IF(26&lt;=DAY(DATE('Billable summary'!$C$4,7,0)),DATE('Billable summary'!$C$4,6,26),"")</f>
        <v>46199</v>
      </c>
      <c r="AC5" s="48" t="n">
        <f>IF(27&lt;=DAY(DATE('Billable summary'!$C$4,7,0)),DATE('Billable summary'!$C$4,6,27),"")</f>
        <v>46200</v>
      </c>
      <c r="AD5" s="48" t="n">
        <f>IF(28&lt;=DAY(DATE('Billable summary'!$C$4,7,0)),DATE('Billable summary'!$C$4,6,28),"")</f>
        <v>46201</v>
      </c>
      <c r="AE5" s="48" t="n">
        <f>IF(29&lt;=DAY(DATE('Billable summary'!$C$4,7,0)),DATE('Billable summary'!$C$4,6,29),"")</f>
        <v>46202</v>
      </c>
      <c r="AF5" s="48" t="n">
        <f>IF(30&lt;=DAY(DATE('Billable summary'!$C$4,7,0)),DATE('Billable summary'!$C$4,6,30),"")</f>
        <v>46203</v>
      </c>
      <c r="AG5" s="48" t="str">
        <f>IF(31&lt;=DAY(DATE('Billable summary'!$C$4,7,0)),DATE('Billable summary'!$C$4,6,31),"")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46174</v>
      </c>
      <c r="D6" s="142" t="n">
        <f>IF(D$5="","",D$5)</f>
        <v>46175</v>
      </c>
      <c r="E6" s="142" t="n">
        <f>IF(E$5="","",E$5)</f>
        <v>46176</v>
      </c>
      <c r="F6" s="142" t="n">
        <f>IF(F$5="","",F$5)</f>
        <v>46177</v>
      </c>
      <c r="G6" s="142" t="n">
        <f>IF(G$5="","",G$5)</f>
        <v>46178</v>
      </c>
      <c r="H6" s="142" t="n">
        <f>IF(H$5="","",H$5)</f>
        <v>46179</v>
      </c>
      <c r="I6" s="142" t="n">
        <f>IF(I$5="","",I$5)</f>
        <v>46180</v>
      </c>
      <c r="J6" s="142" t="n">
        <f>IF(J$5="","",J$5)</f>
        <v>46181</v>
      </c>
      <c r="K6" s="142" t="n">
        <f>IF(K$5="","",K$5)</f>
        <v>46182</v>
      </c>
      <c r="L6" s="142" t="n">
        <f>IF(L$5="","",L$5)</f>
        <v>46183</v>
      </c>
      <c r="M6" s="142" t="n">
        <f>IF(M$5="","",M$5)</f>
        <v>46184</v>
      </c>
      <c r="N6" s="142" t="n">
        <f>IF(N$5="","",N$5)</f>
        <v>46185</v>
      </c>
      <c r="O6" s="142" t="n">
        <f>IF(O$5="","",O$5)</f>
        <v>46186</v>
      </c>
      <c r="P6" s="142" t="n">
        <f>IF(P$5="","",P$5)</f>
        <v>46187</v>
      </c>
      <c r="Q6" s="142" t="n">
        <f>IF(Q$5="","",Q$5)</f>
        <v>46188</v>
      </c>
      <c r="R6" s="142" t="n">
        <f>IF(R$5="","",R$5)</f>
        <v>46189</v>
      </c>
      <c r="S6" s="142" t="n">
        <f>IF(S$5="","",S$5)</f>
        <v>46190</v>
      </c>
      <c r="T6" s="142" t="n">
        <f>IF(T$5="","",T$5)</f>
        <v>46191</v>
      </c>
      <c r="U6" s="142" t="n">
        <f>IF(U$5="","",U$5)</f>
        <v>46192</v>
      </c>
      <c r="V6" s="142" t="n">
        <f>IF(V$5="","",V$5)</f>
        <v>46193</v>
      </c>
      <c r="W6" s="142" t="n">
        <f>IF(W$5="","",W$5)</f>
        <v>46194</v>
      </c>
      <c r="X6" s="142" t="n">
        <f>IF(X$5="","",X$5)</f>
        <v>46195</v>
      </c>
      <c r="Y6" s="142" t="n">
        <f>IF(Y$5="","",Y$5)</f>
        <v>46196</v>
      </c>
      <c r="Z6" s="142" t="n">
        <f>IF(Z$5="","",Z$5)</f>
        <v>46197</v>
      </c>
      <c r="AA6" s="142" t="n">
        <f>IF(AA$5="","",AA$5)</f>
        <v>46198</v>
      </c>
      <c r="AB6" s="142" t="n">
        <f>IF(AB$5="","",AB$5)</f>
        <v>46199</v>
      </c>
      <c r="AC6" s="142" t="n">
        <f>IF(AC$5="","",AC$5)</f>
        <v>46200</v>
      </c>
      <c r="AD6" s="142" t="n">
        <f>IF(AD$5="","",AD$5)</f>
        <v>46201</v>
      </c>
      <c r="AE6" s="142" t="n">
        <f>IF(AE$5="","",AE$5)</f>
        <v>46202</v>
      </c>
      <c r="AF6" s="142" t="n">
        <f>IF(AF$5="","",AF$5)</f>
        <v>46203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46174</v>
      </c>
      <c r="D19" s="142" t="n">
        <f>IF(D$5="","",D$5)</f>
        <v>46175</v>
      </c>
      <c r="E19" s="142" t="n">
        <f>IF(E$5="","",E$5)</f>
        <v>46176</v>
      </c>
      <c r="F19" s="142" t="n">
        <f>IF(F$5="","",F$5)</f>
        <v>46177</v>
      </c>
      <c r="G19" s="142" t="n">
        <f>IF(G$5="","",G$5)</f>
        <v>46178</v>
      </c>
      <c r="H19" s="142" t="n">
        <f>IF(H$5="","",H$5)</f>
        <v>46179</v>
      </c>
      <c r="I19" s="142" t="n">
        <f>IF(I$5="","",I$5)</f>
        <v>46180</v>
      </c>
      <c r="J19" s="142" t="n">
        <f>IF(J$5="","",J$5)</f>
        <v>46181</v>
      </c>
      <c r="K19" s="142" t="n">
        <f>IF(K$5="","",K$5)</f>
        <v>46182</v>
      </c>
      <c r="L19" s="142" t="n">
        <f>IF(L$5="","",L$5)</f>
        <v>46183</v>
      </c>
      <c r="M19" s="142" t="n">
        <f>IF(M$5="","",M$5)</f>
        <v>46184</v>
      </c>
      <c r="N19" s="142" t="n">
        <f>IF(N$5="","",N$5)</f>
        <v>46185</v>
      </c>
      <c r="O19" s="142" t="n">
        <f>IF(O$5="","",O$5)</f>
        <v>46186</v>
      </c>
      <c r="P19" s="142" t="n">
        <f>IF(P$5="","",P$5)</f>
        <v>46187</v>
      </c>
      <c r="Q19" s="142" t="n">
        <f>IF(Q$5="","",Q$5)</f>
        <v>46188</v>
      </c>
      <c r="R19" s="142" t="n">
        <f>IF(R$5="","",R$5)</f>
        <v>46189</v>
      </c>
      <c r="S19" s="142" t="n">
        <f>IF(S$5="","",S$5)</f>
        <v>46190</v>
      </c>
      <c r="T19" s="142" t="n">
        <f>IF(T$5="","",T$5)</f>
        <v>46191</v>
      </c>
      <c r="U19" s="142" t="n">
        <f>IF(U$5="","",U$5)</f>
        <v>46192</v>
      </c>
      <c r="V19" s="142" t="n">
        <f>IF(V$5="","",V$5)</f>
        <v>46193</v>
      </c>
      <c r="W19" s="142" t="n">
        <f>IF(W$5="","",W$5)</f>
        <v>46194</v>
      </c>
      <c r="X19" s="142" t="n">
        <f>IF(X$5="","",X$5)</f>
        <v>46195</v>
      </c>
      <c r="Y19" s="142" t="n">
        <f>IF(Y$5="","",Y$5)</f>
        <v>46196</v>
      </c>
      <c r="Z19" s="142" t="n">
        <f>IF(Z$5="","",Z$5)</f>
        <v>46197</v>
      </c>
      <c r="AA19" s="142" t="n">
        <f>IF(AA$5="","",AA$5)</f>
        <v>46198</v>
      </c>
      <c r="AB19" s="142" t="n">
        <f>IF(AB$5="","",AB$5)</f>
        <v>46199</v>
      </c>
      <c r="AC19" s="142" t="n">
        <f>IF(AC$5="","",AC$5)</f>
        <v>46200</v>
      </c>
      <c r="AD19" s="142" t="n">
        <f>IF(AD$5="","",AD$5)</f>
        <v>46201</v>
      </c>
      <c r="AE19" s="142" t="n">
        <f>IF(AE$5="","",AE$5)</f>
        <v>46202</v>
      </c>
      <c r="AF19" s="142" t="n">
        <f>IF(AF$5="","",AF$5)</f>
        <v>46203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46174</v>
      </c>
      <c r="D30" s="48" t="n">
        <f>IF(D$5="","",D$5)</f>
        <v>46175</v>
      </c>
      <c r="E30" s="48" t="n">
        <f>IF(E$5="","",E$5)</f>
        <v>46176</v>
      </c>
      <c r="F30" s="48" t="n">
        <f>IF(F$5="","",F$5)</f>
        <v>46177</v>
      </c>
      <c r="G30" s="48" t="n">
        <f>IF(G$5="","",G$5)</f>
        <v>46178</v>
      </c>
      <c r="H30" s="48" t="n">
        <f>IF(H$5="","",H$5)</f>
        <v>46179</v>
      </c>
      <c r="I30" s="48" t="n">
        <f>IF(I$5="","",I$5)</f>
        <v>46180</v>
      </c>
      <c r="J30" s="48" t="n">
        <f>IF(J$5="","",J$5)</f>
        <v>46181</v>
      </c>
      <c r="K30" s="48" t="n">
        <f>IF(K$5="","",K$5)</f>
        <v>46182</v>
      </c>
      <c r="L30" s="48" t="n">
        <f>IF(L$5="","",L$5)</f>
        <v>46183</v>
      </c>
      <c r="M30" s="48" t="n">
        <f>IF(M$5="","",M$5)</f>
        <v>46184</v>
      </c>
      <c r="N30" s="48" t="n">
        <f>IF(N$5="","",N$5)</f>
        <v>46185</v>
      </c>
      <c r="O30" s="48" t="n">
        <f>IF(O$5="","",O$5)</f>
        <v>46186</v>
      </c>
      <c r="P30" s="48" t="n">
        <f>IF(P$5="","",P$5)</f>
        <v>46187</v>
      </c>
      <c r="Q30" s="48" t="n">
        <f>IF(Q$5="","",Q$5)</f>
        <v>46188</v>
      </c>
      <c r="R30" s="48" t="n">
        <f>IF(R$5="","",R$5)</f>
        <v>46189</v>
      </c>
      <c r="S30" s="48" t="n">
        <f>IF(S$5="","",S$5)</f>
        <v>46190</v>
      </c>
      <c r="T30" s="48" t="n">
        <f>IF(T$5="","",T$5)</f>
        <v>46191</v>
      </c>
      <c r="U30" s="48" t="n">
        <f>IF(U$5="","",U$5)</f>
        <v>46192</v>
      </c>
      <c r="V30" s="48" t="n">
        <f>IF(V$5="","",V$5)</f>
        <v>46193</v>
      </c>
      <c r="W30" s="48" t="n">
        <f>IF(W$5="","",W$5)</f>
        <v>46194</v>
      </c>
      <c r="X30" s="48" t="n">
        <f>IF(X$5="","",X$5)</f>
        <v>46195</v>
      </c>
      <c r="Y30" s="48" t="n">
        <f>IF(Y$5="","",Y$5)</f>
        <v>46196</v>
      </c>
      <c r="Z30" s="48" t="n">
        <f>IF(Z$5="","",Z$5)</f>
        <v>46197</v>
      </c>
      <c r="AA30" s="48" t="n">
        <f>IF(AA$5="","",AA$5)</f>
        <v>46198</v>
      </c>
      <c r="AB30" s="48" t="n">
        <f>IF(AB$5="","",AB$5)</f>
        <v>46199</v>
      </c>
      <c r="AC30" s="48" t="n">
        <f>IF(AC$5="","",AC$5)</f>
        <v>46200</v>
      </c>
      <c r="AD30" s="48" t="n">
        <f>IF(AD$5="","",AD$5)</f>
        <v>46201</v>
      </c>
      <c r="AE30" s="48" t="n">
        <f>IF(AE$5="","",AE$5)</f>
        <v>46202</v>
      </c>
      <c r="AF30" s="48" t="n">
        <f>IF(AF$5="","",AF$5)</f>
        <v>46203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46174</v>
      </c>
      <c r="D31" s="142" t="n">
        <f>IF(D$5="","",D$5)</f>
        <v>46175</v>
      </c>
      <c r="E31" s="142" t="n">
        <f>IF(E$5="","",E$5)</f>
        <v>46176</v>
      </c>
      <c r="F31" s="142" t="n">
        <f>IF(F$5="","",F$5)</f>
        <v>46177</v>
      </c>
      <c r="G31" s="142" t="n">
        <f>IF(G$5="","",G$5)</f>
        <v>46178</v>
      </c>
      <c r="H31" s="142" t="n">
        <f>IF(H$5="","",H$5)</f>
        <v>46179</v>
      </c>
      <c r="I31" s="142" t="n">
        <f>IF(I$5="","",I$5)</f>
        <v>46180</v>
      </c>
      <c r="J31" s="142" t="n">
        <f>IF(J$5="","",J$5)</f>
        <v>46181</v>
      </c>
      <c r="K31" s="142" t="n">
        <f>IF(K$5="","",K$5)</f>
        <v>46182</v>
      </c>
      <c r="L31" s="142" t="n">
        <f>IF(L$5="","",L$5)</f>
        <v>46183</v>
      </c>
      <c r="M31" s="142" t="n">
        <f>IF(M$5="","",M$5)</f>
        <v>46184</v>
      </c>
      <c r="N31" s="142" t="n">
        <f>IF(N$5="","",N$5)</f>
        <v>46185</v>
      </c>
      <c r="O31" s="142" t="n">
        <f>IF(O$5="","",O$5)</f>
        <v>46186</v>
      </c>
      <c r="P31" s="142" t="n">
        <f>IF(P$5="","",P$5)</f>
        <v>46187</v>
      </c>
      <c r="Q31" s="142" t="n">
        <f>IF(Q$5="","",Q$5)</f>
        <v>46188</v>
      </c>
      <c r="R31" s="142" t="n">
        <f>IF(R$5="","",R$5)</f>
        <v>46189</v>
      </c>
      <c r="S31" s="142" t="n">
        <f>IF(S$5="","",S$5)</f>
        <v>46190</v>
      </c>
      <c r="T31" s="142" t="n">
        <f>IF(T$5="","",T$5)</f>
        <v>46191</v>
      </c>
      <c r="U31" s="142" t="n">
        <f>IF(U$5="","",U$5)</f>
        <v>46192</v>
      </c>
      <c r="V31" s="142" t="n">
        <f>IF(V$5="","",V$5)</f>
        <v>46193</v>
      </c>
      <c r="W31" s="142" t="n">
        <f>IF(W$5="","",W$5)</f>
        <v>46194</v>
      </c>
      <c r="X31" s="142" t="n">
        <f>IF(X$5="","",X$5)</f>
        <v>46195</v>
      </c>
      <c r="Y31" s="142" t="n">
        <f>IF(Y$5="","",Y$5)</f>
        <v>46196</v>
      </c>
      <c r="Z31" s="142" t="n">
        <f>IF(Z$5="","",Z$5)</f>
        <v>46197</v>
      </c>
      <c r="AA31" s="142" t="n">
        <f>IF(AA$5="","",AA$5)</f>
        <v>46198</v>
      </c>
      <c r="AB31" s="142" t="n">
        <f>IF(AB$5="","",AB$5)</f>
        <v>46199</v>
      </c>
      <c r="AC31" s="142" t="n">
        <f>IF(AC$5="","",AC$5)</f>
        <v>46200</v>
      </c>
      <c r="AD31" s="142" t="n">
        <f>IF(AD$5="","",AD$5)</f>
        <v>46201</v>
      </c>
      <c r="AE31" s="142" t="n">
        <f>IF(AE$5="","",AE$5)</f>
        <v>46202</v>
      </c>
      <c r="AF31" s="142" t="n">
        <f>IF(AF$5="","",AF$5)</f>
        <v>46203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summary'!$C$4,6,1),DATE('Billable summary'!$C$4,7,0))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12" priority="1">
      <formula>OR(C$5="",WEEKDAY(C$5,2)&gt;5)</formula>
    </cfRule>
    <cfRule type="expression" dxfId="113" priority="2">
      <formula>AND(C$5="",NOT(ISBLANK(C7)))</formula>
    </cfRule>
  </conditionalFormatting>
  <conditionalFormatting sqref="C20:AG25">
    <cfRule type="expression" dxfId="114" priority="3">
      <formula>OR(C$5="",WEEKDAY(C$5,2)&gt;5)</formula>
    </cfRule>
    <cfRule type="expression" dxfId="115" priority="4">
      <formula>AND(C$5="",NOT(ISBLANK(C20)))</formula>
    </cfRule>
  </conditionalFormatting>
  <conditionalFormatting sqref="C32:AG35">
    <cfRule type="expression" dxfId="116" priority="5">
      <formula>OR(C$5="",WEEKDAY(C$5,2)&gt;5)</formula>
    </cfRule>
    <cfRule type="expression" dxfId="117" priority="6">
      <formula>AND(C$5="",NOT(ISBLANK(C32)))</formula>
    </cfRule>
  </conditionalFormatting>
  <conditionalFormatting sqref="I43:K43">
    <cfRule type="expression" dxfId="118" priority="7">
      <formula>AND(ISNUMBER($I$43),$I$43&gt;=$I$44)</formula>
    </cfRule>
    <cfRule type="expression" dxfId="119" priority="8">
      <formula>AND(ISNUMBER($I$43),$I$43&lt;$I$44)</formula>
    </cfRule>
  </conditionalFormatting>
  <conditionalFormatting sqref="B51:AH51">
    <cfRule type="containsText" dxfId="120" priority="9" operator="containsText" text="Check"/>
    <cfRule type="containsText" dxfId="121" priority="10" operator="containsText" text="Invalid"/>
    <cfRule type="containsText" dxfId="122" priority="11" operator="containsText" text="Negative"/>
    <cfRule type="containsText" dxfId="12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summary'!$C$4,7,1),"mmmm yyyy")</f>
        <v>July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summary'!$C$4,8,0)),DATE('Billable summary'!$C$4,7,1),"")</f>
        <v>46204</v>
      </c>
      <c r="D5" s="48" t="n">
        <f>IF(2&lt;=DAY(DATE('Billable summary'!$C$4,8,0)),DATE('Billable summary'!$C$4,7,2),"")</f>
        <v>46205</v>
      </c>
      <c r="E5" s="48" t="n">
        <f>IF(3&lt;=DAY(DATE('Billable summary'!$C$4,8,0)),DATE('Billable summary'!$C$4,7,3),"")</f>
        <v>46206</v>
      </c>
      <c r="F5" s="48" t="n">
        <f>IF(4&lt;=DAY(DATE('Billable summary'!$C$4,8,0)),DATE('Billable summary'!$C$4,7,4),"")</f>
        <v>46207</v>
      </c>
      <c r="G5" s="48" t="n">
        <f>IF(5&lt;=DAY(DATE('Billable summary'!$C$4,8,0)),DATE('Billable summary'!$C$4,7,5),"")</f>
        <v>46208</v>
      </c>
      <c r="H5" s="48" t="n">
        <f>IF(6&lt;=DAY(DATE('Billable summary'!$C$4,8,0)),DATE('Billable summary'!$C$4,7,6),"")</f>
        <v>46209</v>
      </c>
      <c r="I5" s="48" t="n">
        <f>IF(7&lt;=DAY(DATE('Billable summary'!$C$4,8,0)),DATE('Billable summary'!$C$4,7,7),"")</f>
        <v>46210</v>
      </c>
      <c r="J5" s="48" t="n">
        <f>IF(8&lt;=DAY(DATE('Billable summary'!$C$4,8,0)),DATE('Billable summary'!$C$4,7,8),"")</f>
        <v>46211</v>
      </c>
      <c r="K5" s="48" t="n">
        <f>IF(9&lt;=DAY(DATE('Billable summary'!$C$4,8,0)),DATE('Billable summary'!$C$4,7,9),"")</f>
        <v>46212</v>
      </c>
      <c r="L5" s="48" t="n">
        <f>IF(10&lt;=DAY(DATE('Billable summary'!$C$4,8,0)),DATE('Billable summary'!$C$4,7,10),"")</f>
        <v>46213</v>
      </c>
      <c r="M5" s="48" t="n">
        <f>IF(11&lt;=DAY(DATE('Billable summary'!$C$4,8,0)),DATE('Billable summary'!$C$4,7,11),"")</f>
        <v>46214</v>
      </c>
      <c r="N5" s="48" t="n">
        <f>IF(12&lt;=DAY(DATE('Billable summary'!$C$4,8,0)),DATE('Billable summary'!$C$4,7,12),"")</f>
        <v>46215</v>
      </c>
      <c r="O5" s="48" t="n">
        <f>IF(13&lt;=DAY(DATE('Billable summary'!$C$4,8,0)),DATE('Billable summary'!$C$4,7,13),"")</f>
        <v>46216</v>
      </c>
      <c r="P5" s="48" t="n">
        <f>IF(14&lt;=DAY(DATE('Billable summary'!$C$4,8,0)),DATE('Billable summary'!$C$4,7,14),"")</f>
        <v>46217</v>
      </c>
      <c r="Q5" s="48" t="n">
        <f>IF(15&lt;=DAY(DATE('Billable summary'!$C$4,8,0)),DATE('Billable summary'!$C$4,7,15),"")</f>
        <v>46218</v>
      </c>
      <c r="R5" s="48" t="n">
        <f>IF(16&lt;=DAY(DATE('Billable summary'!$C$4,8,0)),DATE('Billable summary'!$C$4,7,16),"")</f>
        <v>46219</v>
      </c>
      <c r="S5" s="48" t="n">
        <f>IF(17&lt;=DAY(DATE('Billable summary'!$C$4,8,0)),DATE('Billable summary'!$C$4,7,17),"")</f>
        <v>46220</v>
      </c>
      <c r="T5" s="48" t="n">
        <f>IF(18&lt;=DAY(DATE('Billable summary'!$C$4,8,0)),DATE('Billable summary'!$C$4,7,18),"")</f>
        <v>46221</v>
      </c>
      <c r="U5" s="48" t="n">
        <f>IF(19&lt;=DAY(DATE('Billable summary'!$C$4,8,0)),DATE('Billable summary'!$C$4,7,19),"")</f>
        <v>46222</v>
      </c>
      <c r="V5" s="48" t="n">
        <f>IF(20&lt;=DAY(DATE('Billable summary'!$C$4,8,0)),DATE('Billable summary'!$C$4,7,20),"")</f>
        <v>46223</v>
      </c>
      <c r="W5" s="48" t="n">
        <f>IF(21&lt;=DAY(DATE('Billable summary'!$C$4,8,0)),DATE('Billable summary'!$C$4,7,21),"")</f>
        <v>46224</v>
      </c>
      <c r="X5" s="48" t="n">
        <f>IF(22&lt;=DAY(DATE('Billable summary'!$C$4,8,0)),DATE('Billable summary'!$C$4,7,22),"")</f>
        <v>46225</v>
      </c>
      <c r="Y5" s="48" t="n">
        <f>IF(23&lt;=DAY(DATE('Billable summary'!$C$4,8,0)),DATE('Billable summary'!$C$4,7,23),"")</f>
        <v>46226</v>
      </c>
      <c r="Z5" s="48" t="n">
        <f>IF(24&lt;=DAY(DATE('Billable summary'!$C$4,8,0)),DATE('Billable summary'!$C$4,7,24),"")</f>
        <v>46227</v>
      </c>
      <c r="AA5" s="48" t="n">
        <f>IF(25&lt;=DAY(DATE('Billable summary'!$C$4,8,0)),DATE('Billable summary'!$C$4,7,25),"")</f>
        <v>46228</v>
      </c>
      <c r="AB5" s="48" t="n">
        <f>IF(26&lt;=DAY(DATE('Billable summary'!$C$4,8,0)),DATE('Billable summary'!$C$4,7,26),"")</f>
        <v>46229</v>
      </c>
      <c r="AC5" s="48" t="n">
        <f>IF(27&lt;=DAY(DATE('Billable summary'!$C$4,8,0)),DATE('Billable summary'!$C$4,7,27),"")</f>
        <v>46230</v>
      </c>
      <c r="AD5" s="48" t="n">
        <f>IF(28&lt;=DAY(DATE('Billable summary'!$C$4,8,0)),DATE('Billable summary'!$C$4,7,28),"")</f>
        <v>46231</v>
      </c>
      <c r="AE5" s="48" t="n">
        <f>IF(29&lt;=DAY(DATE('Billable summary'!$C$4,8,0)),DATE('Billable summary'!$C$4,7,29),"")</f>
        <v>46232</v>
      </c>
      <c r="AF5" s="48" t="n">
        <f>IF(30&lt;=DAY(DATE('Billable summary'!$C$4,8,0)),DATE('Billable summary'!$C$4,7,30),"")</f>
        <v>46233</v>
      </c>
      <c r="AG5" s="48" t="n">
        <f>IF(31&lt;=DAY(DATE('Billable summary'!$C$4,8,0)),DATE('Billable summary'!$C$4,7,31),"")</f>
        <v>46234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46204</v>
      </c>
      <c r="D6" s="142" t="n">
        <f>IF(D$5="","",D$5)</f>
        <v>46205</v>
      </c>
      <c r="E6" s="142" t="n">
        <f>IF(E$5="","",E$5)</f>
        <v>46206</v>
      </c>
      <c r="F6" s="142" t="n">
        <f>IF(F$5="","",F$5)</f>
        <v>46207</v>
      </c>
      <c r="G6" s="142" t="n">
        <f>IF(G$5="","",G$5)</f>
        <v>46208</v>
      </c>
      <c r="H6" s="142" t="n">
        <f>IF(H$5="","",H$5)</f>
        <v>46209</v>
      </c>
      <c r="I6" s="142" t="n">
        <f>IF(I$5="","",I$5)</f>
        <v>46210</v>
      </c>
      <c r="J6" s="142" t="n">
        <f>IF(J$5="","",J$5)</f>
        <v>46211</v>
      </c>
      <c r="K6" s="142" t="n">
        <f>IF(K$5="","",K$5)</f>
        <v>46212</v>
      </c>
      <c r="L6" s="142" t="n">
        <f>IF(L$5="","",L$5)</f>
        <v>46213</v>
      </c>
      <c r="M6" s="142" t="n">
        <f>IF(M$5="","",M$5)</f>
        <v>46214</v>
      </c>
      <c r="N6" s="142" t="n">
        <f>IF(N$5="","",N$5)</f>
        <v>46215</v>
      </c>
      <c r="O6" s="142" t="n">
        <f>IF(O$5="","",O$5)</f>
        <v>46216</v>
      </c>
      <c r="P6" s="142" t="n">
        <f>IF(P$5="","",P$5)</f>
        <v>46217</v>
      </c>
      <c r="Q6" s="142" t="n">
        <f>IF(Q$5="","",Q$5)</f>
        <v>46218</v>
      </c>
      <c r="R6" s="142" t="n">
        <f>IF(R$5="","",R$5)</f>
        <v>46219</v>
      </c>
      <c r="S6" s="142" t="n">
        <f>IF(S$5="","",S$5)</f>
        <v>46220</v>
      </c>
      <c r="T6" s="142" t="n">
        <f>IF(T$5="","",T$5)</f>
        <v>46221</v>
      </c>
      <c r="U6" s="142" t="n">
        <f>IF(U$5="","",U$5)</f>
        <v>46222</v>
      </c>
      <c r="V6" s="142" t="n">
        <f>IF(V$5="","",V$5)</f>
        <v>46223</v>
      </c>
      <c r="W6" s="142" t="n">
        <f>IF(W$5="","",W$5)</f>
        <v>46224</v>
      </c>
      <c r="X6" s="142" t="n">
        <f>IF(X$5="","",X$5)</f>
        <v>46225</v>
      </c>
      <c r="Y6" s="142" t="n">
        <f>IF(Y$5="","",Y$5)</f>
        <v>46226</v>
      </c>
      <c r="Z6" s="142" t="n">
        <f>IF(Z$5="","",Z$5)</f>
        <v>46227</v>
      </c>
      <c r="AA6" s="142" t="n">
        <f>IF(AA$5="","",AA$5)</f>
        <v>46228</v>
      </c>
      <c r="AB6" s="142" t="n">
        <f>IF(AB$5="","",AB$5)</f>
        <v>46229</v>
      </c>
      <c r="AC6" s="142" t="n">
        <f>IF(AC$5="","",AC$5)</f>
        <v>46230</v>
      </c>
      <c r="AD6" s="142" t="n">
        <f>IF(AD$5="","",AD$5)</f>
        <v>46231</v>
      </c>
      <c r="AE6" s="142" t="n">
        <f>IF(AE$5="","",AE$5)</f>
        <v>46232</v>
      </c>
      <c r="AF6" s="142" t="n">
        <f>IF(AF$5="","",AF$5)</f>
        <v>46233</v>
      </c>
      <c r="AG6" s="142" t="n">
        <f>IF(AG$5="","",AG$5)</f>
        <v>46234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46204</v>
      </c>
      <c r="D19" s="142" t="n">
        <f>IF(D$5="","",D$5)</f>
        <v>46205</v>
      </c>
      <c r="E19" s="142" t="n">
        <f>IF(E$5="","",E$5)</f>
        <v>46206</v>
      </c>
      <c r="F19" s="142" t="n">
        <f>IF(F$5="","",F$5)</f>
        <v>46207</v>
      </c>
      <c r="G19" s="142" t="n">
        <f>IF(G$5="","",G$5)</f>
        <v>46208</v>
      </c>
      <c r="H19" s="142" t="n">
        <f>IF(H$5="","",H$5)</f>
        <v>46209</v>
      </c>
      <c r="I19" s="142" t="n">
        <f>IF(I$5="","",I$5)</f>
        <v>46210</v>
      </c>
      <c r="J19" s="142" t="n">
        <f>IF(J$5="","",J$5)</f>
        <v>46211</v>
      </c>
      <c r="K19" s="142" t="n">
        <f>IF(K$5="","",K$5)</f>
        <v>46212</v>
      </c>
      <c r="L19" s="142" t="n">
        <f>IF(L$5="","",L$5)</f>
        <v>46213</v>
      </c>
      <c r="M19" s="142" t="n">
        <f>IF(M$5="","",M$5)</f>
        <v>46214</v>
      </c>
      <c r="N19" s="142" t="n">
        <f>IF(N$5="","",N$5)</f>
        <v>46215</v>
      </c>
      <c r="O19" s="142" t="n">
        <f>IF(O$5="","",O$5)</f>
        <v>46216</v>
      </c>
      <c r="P19" s="142" t="n">
        <f>IF(P$5="","",P$5)</f>
        <v>46217</v>
      </c>
      <c r="Q19" s="142" t="n">
        <f>IF(Q$5="","",Q$5)</f>
        <v>46218</v>
      </c>
      <c r="R19" s="142" t="n">
        <f>IF(R$5="","",R$5)</f>
        <v>46219</v>
      </c>
      <c r="S19" s="142" t="n">
        <f>IF(S$5="","",S$5)</f>
        <v>46220</v>
      </c>
      <c r="T19" s="142" t="n">
        <f>IF(T$5="","",T$5)</f>
        <v>46221</v>
      </c>
      <c r="U19" s="142" t="n">
        <f>IF(U$5="","",U$5)</f>
        <v>46222</v>
      </c>
      <c r="V19" s="142" t="n">
        <f>IF(V$5="","",V$5)</f>
        <v>46223</v>
      </c>
      <c r="W19" s="142" t="n">
        <f>IF(W$5="","",W$5)</f>
        <v>46224</v>
      </c>
      <c r="X19" s="142" t="n">
        <f>IF(X$5="","",X$5)</f>
        <v>46225</v>
      </c>
      <c r="Y19" s="142" t="n">
        <f>IF(Y$5="","",Y$5)</f>
        <v>46226</v>
      </c>
      <c r="Z19" s="142" t="n">
        <f>IF(Z$5="","",Z$5)</f>
        <v>46227</v>
      </c>
      <c r="AA19" s="142" t="n">
        <f>IF(AA$5="","",AA$5)</f>
        <v>46228</v>
      </c>
      <c r="AB19" s="142" t="n">
        <f>IF(AB$5="","",AB$5)</f>
        <v>46229</v>
      </c>
      <c r="AC19" s="142" t="n">
        <f>IF(AC$5="","",AC$5)</f>
        <v>46230</v>
      </c>
      <c r="AD19" s="142" t="n">
        <f>IF(AD$5="","",AD$5)</f>
        <v>46231</v>
      </c>
      <c r="AE19" s="142" t="n">
        <f>IF(AE$5="","",AE$5)</f>
        <v>46232</v>
      </c>
      <c r="AF19" s="142" t="n">
        <f>IF(AF$5="","",AF$5)</f>
        <v>46233</v>
      </c>
      <c r="AG19" s="142" t="n">
        <f>IF(AG$5="","",AG$5)</f>
        <v>46234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46204</v>
      </c>
      <c r="D30" s="48" t="n">
        <f>IF(D$5="","",D$5)</f>
        <v>46205</v>
      </c>
      <c r="E30" s="48" t="n">
        <f>IF(E$5="","",E$5)</f>
        <v>46206</v>
      </c>
      <c r="F30" s="48" t="n">
        <f>IF(F$5="","",F$5)</f>
        <v>46207</v>
      </c>
      <c r="G30" s="48" t="n">
        <f>IF(G$5="","",G$5)</f>
        <v>46208</v>
      </c>
      <c r="H30" s="48" t="n">
        <f>IF(H$5="","",H$5)</f>
        <v>46209</v>
      </c>
      <c r="I30" s="48" t="n">
        <f>IF(I$5="","",I$5)</f>
        <v>46210</v>
      </c>
      <c r="J30" s="48" t="n">
        <f>IF(J$5="","",J$5)</f>
        <v>46211</v>
      </c>
      <c r="K30" s="48" t="n">
        <f>IF(K$5="","",K$5)</f>
        <v>46212</v>
      </c>
      <c r="L30" s="48" t="n">
        <f>IF(L$5="","",L$5)</f>
        <v>46213</v>
      </c>
      <c r="M30" s="48" t="n">
        <f>IF(M$5="","",M$5)</f>
        <v>46214</v>
      </c>
      <c r="N30" s="48" t="n">
        <f>IF(N$5="","",N$5)</f>
        <v>46215</v>
      </c>
      <c r="O30" s="48" t="n">
        <f>IF(O$5="","",O$5)</f>
        <v>46216</v>
      </c>
      <c r="P30" s="48" t="n">
        <f>IF(P$5="","",P$5)</f>
        <v>46217</v>
      </c>
      <c r="Q30" s="48" t="n">
        <f>IF(Q$5="","",Q$5)</f>
        <v>46218</v>
      </c>
      <c r="R30" s="48" t="n">
        <f>IF(R$5="","",R$5)</f>
        <v>46219</v>
      </c>
      <c r="S30" s="48" t="n">
        <f>IF(S$5="","",S$5)</f>
        <v>46220</v>
      </c>
      <c r="T30" s="48" t="n">
        <f>IF(T$5="","",T$5)</f>
        <v>46221</v>
      </c>
      <c r="U30" s="48" t="n">
        <f>IF(U$5="","",U$5)</f>
        <v>46222</v>
      </c>
      <c r="V30" s="48" t="n">
        <f>IF(V$5="","",V$5)</f>
        <v>46223</v>
      </c>
      <c r="W30" s="48" t="n">
        <f>IF(W$5="","",W$5)</f>
        <v>46224</v>
      </c>
      <c r="X30" s="48" t="n">
        <f>IF(X$5="","",X$5)</f>
        <v>46225</v>
      </c>
      <c r="Y30" s="48" t="n">
        <f>IF(Y$5="","",Y$5)</f>
        <v>46226</v>
      </c>
      <c r="Z30" s="48" t="n">
        <f>IF(Z$5="","",Z$5)</f>
        <v>46227</v>
      </c>
      <c r="AA30" s="48" t="n">
        <f>IF(AA$5="","",AA$5)</f>
        <v>46228</v>
      </c>
      <c r="AB30" s="48" t="n">
        <f>IF(AB$5="","",AB$5)</f>
        <v>46229</v>
      </c>
      <c r="AC30" s="48" t="n">
        <f>IF(AC$5="","",AC$5)</f>
        <v>46230</v>
      </c>
      <c r="AD30" s="48" t="n">
        <f>IF(AD$5="","",AD$5)</f>
        <v>46231</v>
      </c>
      <c r="AE30" s="48" t="n">
        <f>IF(AE$5="","",AE$5)</f>
        <v>46232</v>
      </c>
      <c r="AF30" s="48" t="n">
        <f>IF(AF$5="","",AF$5)</f>
        <v>46233</v>
      </c>
      <c r="AG30" s="48" t="n">
        <f>IF(AG$5="","",AG$5)</f>
        <v>46234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46204</v>
      </c>
      <c r="D31" s="142" t="n">
        <f>IF(D$5="","",D$5)</f>
        <v>46205</v>
      </c>
      <c r="E31" s="142" t="n">
        <f>IF(E$5="","",E$5)</f>
        <v>46206</v>
      </c>
      <c r="F31" s="142" t="n">
        <f>IF(F$5="","",F$5)</f>
        <v>46207</v>
      </c>
      <c r="G31" s="142" t="n">
        <f>IF(G$5="","",G$5)</f>
        <v>46208</v>
      </c>
      <c r="H31" s="142" t="n">
        <f>IF(H$5="","",H$5)</f>
        <v>46209</v>
      </c>
      <c r="I31" s="142" t="n">
        <f>IF(I$5="","",I$5)</f>
        <v>46210</v>
      </c>
      <c r="J31" s="142" t="n">
        <f>IF(J$5="","",J$5)</f>
        <v>46211</v>
      </c>
      <c r="K31" s="142" t="n">
        <f>IF(K$5="","",K$5)</f>
        <v>46212</v>
      </c>
      <c r="L31" s="142" t="n">
        <f>IF(L$5="","",L$5)</f>
        <v>46213</v>
      </c>
      <c r="M31" s="142" t="n">
        <f>IF(M$5="","",M$5)</f>
        <v>46214</v>
      </c>
      <c r="N31" s="142" t="n">
        <f>IF(N$5="","",N$5)</f>
        <v>46215</v>
      </c>
      <c r="O31" s="142" t="n">
        <f>IF(O$5="","",O$5)</f>
        <v>46216</v>
      </c>
      <c r="P31" s="142" t="n">
        <f>IF(P$5="","",P$5)</f>
        <v>46217</v>
      </c>
      <c r="Q31" s="142" t="n">
        <f>IF(Q$5="","",Q$5)</f>
        <v>46218</v>
      </c>
      <c r="R31" s="142" t="n">
        <f>IF(R$5="","",R$5)</f>
        <v>46219</v>
      </c>
      <c r="S31" s="142" t="n">
        <f>IF(S$5="","",S$5)</f>
        <v>46220</v>
      </c>
      <c r="T31" s="142" t="n">
        <f>IF(T$5="","",T$5)</f>
        <v>46221</v>
      </c>
      <c r="U31" s="142" t="n">
        <f>IF(U$5="","",U$5)</f>
        <v>46222</v>
      </c>
      <c r="V31" s="142" t="n">
        <f>IF(V$5="","",V$5)</f>
        <v>46223</v>
      </c>
      <c r="W31" s="142" t="n">
        <f>IF(W$5="","",W$5)</f>
        <v>46224</v>
      </c>
      <c r="X31" s="142" t="n">
        <f>IF(X$5="","",X$5)</f>
        <v>46225</v>
      </c>
      <c r="Y31" s="142" t="n">
        <f>IF(Y$5="","",Y$5)</f>
        <v>46226</v>
      </c>
      <c r="Z31" s="142" t="n">
        <f>IF(Z$5="","",Z$5)</f>
        <v>46227</v>
      </c>
      <c r="AA31" s="142" t="n">
        <f>IF(AA$5="","",AA$5)</f>
        <v>46228</v>
      </c>
      <c r="AB31" s="142" t="n">
        <f>IF(AB$5="","",AB$5)</f>
        <v>46229</v>
      </c>
      <c r="AC31" s="142" t="n">
        <f>IF(AC$5="","",AC$5)</f>
        <v>46230</v>
      </c>
      <c r="AD31" s="142" t="n">
        <f>IF(AD$5="","",AD$5)</f>
        <v>46231</v>
      </c>
      <c r="AE31" s="142" t="n">
        <f>IF(AE$5="","",AE$5)</f>
        <v>46232</v>
      </c>
      <c r="AF31" s="142" t="n">
        <f>IF(AF$5="","",AF$5)</f>
        <v>46233</v>
      </c>
      <c r="AG31" s="142" t="n">
        <f>IF(AG$5="","",AG$5)</f>
        <v>46234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summary'!$C$4,7,1),DATE('Billable summary'!$C$4,8,0))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24" priority="1">
      <formula>OR(C$5="",WEEKDAY(C$5,2)&gt;5)</formula>
    </cfRule>
    <cfRule type="expression" dxfId="125" priority="2">
      <formula>AND(C$5="",NOT(ISBLANK(C7)))</formula>
    </cfRule>
  </conditionalFormatting>
  <conditionalFormatting sqref="C20:AG25">
    <cfRule type="expression" dxfId="126" priority="3">
      <formula>OR(C$5="",WEEKDAY(C$5,2)&gt;5)</formula>
    </cfRule>
    <cfRule type="expression" dxfId="127" priority="4">
      <formula>AND(C$5="",NOT(ISBLANK(C20)))</formula>
    </cfRule>
  </conditionalFormatting>
  <conditionalFormatting sqref="C32:AG35">
    <cfRule type="expression" dxfId="128" priority="5">
      <formula>OR(C$5="",WEEKDAY(C$5,2)&gt;5)</formula>
    </cfRule>
    <cfRule type="expression" dxfId="129" priority="6">
      <formula>AND(C$5="",NOT(ISBLANK(C32)))</formula>
    </cfRule>
  </conditionalFormatting>
  <conditionalFormatting sqref="I43:K43">
    <cfRule type="expression" dxfId="130" priority="7">
      <formula>AND(ISNUMBER($I$43),$I$43&gt;=$I$44)</formula>
    </cfRule>
    <cfRule type="expression" dxfId="131" priority="8">
      <formula>AND(ISNUMBER($I$43),$I$43&lt;$I$44)</formula>
    </cfRule>
  </conditionalFormatting>
  <conditionalFormatting sqref="B51:AH51">
    <cfRule type="containsText" dxfId="132" priority="9" operator="containsText" text="Check"/>
    <cfRule type="containsText" dxfId="133" priority="10" operator="containsText" text="Invalid"/>
    <cfRule type="containsText" dxfId="134" priority="11" operator="containsText" text="Negative"/>
    <cfRule type="containsText" dxfId="13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summary'!$C$4,8,1),"mmmm yyyy")</f>
        <v>August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summary'!$C$4,9,0)),DATE('Billable summary'!$C$4,8,1),"")</f>
        <v>46235</v>
      </c>
      <c r="D5" s="48" t="n">
        <f>IF(2&lt;=DAY(DATE('Billable summary'!$C$4,9,0)),DATE('Billable summary'!$C$4,8,2),"")</f>
        <v>46236</v>
      </c>
      <c r="E5" s="48" t="n">
        <f>IF(3&lt;=DAY(DATE('Billable summary'!$C$4,9,0)),DATE('Billable summary'!$C$4,8,3),"")</f>
        <v>46237</v>
      </c>
      <c r="F5" s="48" t="n">
        <f>IF(4&lt;=DAY(DATE('Billable summary'!$C$4,9,0)),DATE('Billable summary'!$C$4,8,4),"")</f>
        <v>46238</v>
      </c>
      <c r="G5" s="48" t="n">
        <f>IF(5&lt;=DAY(DATE('Billable summary'!$C$4,9,0)),DATE('Billable summary'!$C$4,8,5),"")</f>
        <v>46239</v>
      </c>
      <c r="H5" s="48" t="n">
        <f>IF(6&lt;=DAY(DATE('Billable summary'!$C$4,9,0)),DATE('Billable summary'!$C$4,8,6),"")</f>
        <v>46240</v>
      </c>
      <c r="I5" s="48" t="n">
        <f>IF(7&lt;=DAY(DATE('Billable summary'!$C$4,9,0)),DATE('Billable summary'!$C$4,8,7),"")</f>
        <v>46241</v>
      </c>
      <c r="J5" s="48" t="n">
        <f>IF(8&lt;=DAY(DATE('Billable summary'!$C$4,9,0)),DATE('Billable summary'!$C$4,8,8),"")</f>
        <v>46242</v>
      </c>
      <c r="K5" s="48" t="n">
        <f>IF(9&lt;=DAY(DATE('Billable summary'!$C$4,9,0)),DATE('Billable summary'!$C$4,8,9),"")</f>
        <v>46243</v>
      </c>
      <c r="L5" s="48" t="n">
        <f>IF(10&lt;=DAY(DATE('Billable summary'!$C$4,9,0)),DATE('Billable summary'!$C$4,8,10),"")</f>
        <v>46244</v>
      </c>
      <c r="M5" s="48" t="n">
        <f>IF(11&lt;=DAY(DATE('Billable summary'!$C$4,9,0)),DATE('Billable summary'!$C$4,8,11),"")</f>
        <v>46245</v>
      </c>
      <c r="N5" s="48" t="n">
        <f>IF(12&lt;=DAY(DATE('Billable summary'!$C$4,9,0)),DATE('Billable summary'!$C$4,8,12),"")</f>
        <v>46246</v>
      </c>
      <c r="O5" s="48" t="n">
        <f>IF(13&lt;=DAY(DATE('Billable summary'!$C$4,9,0)),DATE('Billable summary'!$C$4,8,13),"")</f>
        <v>46247</v>
      </c>
      <c r="P5" s="48" t="n">
        <f>IF(14&lt;=DAY(DATE('Billable summary'!$C$4,9,0)),DATE('Billable summary'!$C$4,8,14),"")</f>
        <v>46248</v>
      </c>
      <c r="Q5" s="48" t="n">
        <f>IF(15&lt;=DAY(DATE('Billable summary'!$C$4,9,0)),DATE('Billable summary'!$C$4,8,15),"")</f>
        <v>46249</v>
      </c>
      <c r="R5" s="48" t="n">
        <f>IF(16&lt;=DAY(DATE('Billable summary'!$C$4,9,0)),DATE('Billable summary'!$C$4,8,16),"")</f>
        <v>46250</v>
      </c>
      <c r="S5" s="48" t="n">
        <f>IF(17&lt;=DAY(DATE('Billable summary'!$C$4,9,0)),DATE('Billable summary'!$C$4,8,17),"")</f>
        <v>46251</v>
      </c>
      <c r="T5" s="48" t="n">
        <f>IF(18&lt;=DAY(DATE('Billable summary'!$C$4,9,0)),DATE('Billable summary'!$C$4,8,18),"")</f>
        <v>46252</v>
      </c>
      <c r="U5" s="48" t="n">
        <f>IF(19&lt;=DAY(DATE('Billable summary'!$C$4,9,0)),DATE('Billable summary'!$C$4,8,19),"")</f>
        <v>46253</v>
      </c>
      <c r="V5" s="48" t="n">
        <f>IF(20&lt;=DAY(DATE('Billable summary'!$C$4,9,0)),DATE('Billable summary'!$C$4,8,20),"")</f>
        <v>46254</v>
      </c>
      <c r="W5" s="48" t="n">
        <f>IF(21&lt;=DAY(DATE('Billable summary'!$C$4,9,0)),DATE('Billable summary'!$C$4,8,21),"")</f>
        <v>46255</v>
      </c>
      <c r="X5" s="48" t="n">
        <f>IF(22&lt;=DAY(DATE('Billable summary'!$C$4,9,0)),DATE('Billable summary'!$C$4,8,22),"")</f>
        <v>46256</v>
      </c>
      <c r="Y5" s="48" t="n">
        <f>IF(23&lt;=DAY(DATE('Billable summary'!$C$4,9,0)),DATE('Billable summary'!$C$4,8,23),"")</f>
        <v>46257</v>
      </c>
      <c r="Z5" s="48" t="n">
        <f>IF(24&lt;=DAY(DATE('Billable summary'!$C$4,9,0)),DATE('Billable summary'!$C$4,8,24),"")</f>
        <v>46258</v>
      </c>
      <c r="AA5" s="48" t="n">
        <f>IF(25&lt;=DAY(DATE('Billable summary'!$C$4,9,0)),DATE('Billable summary'!$C$4,8,25),"")</f>
        <v>46259</v>
      </c>
      <c r="AB5" s="48" t="n">
        <f>IF(26&lt;=DAY(DATE('Billable summary'!$C$4,9,0)),DATE('Billable summary'!$C$4,8,26),"")</f>
        <v>46260</v>
      </c>
      <c r="AC5" s="48" t="n">
        <f>IF(27&lt;=DAY(DATE('Billable summary'!$C$4,9,0)),DATE('Billable summary'!$C$4,8,27),"")</f>
        <v>46261</v>
      </c>
      <c r="AD5" s="48" t="n">
        <f>IF(28&lt;=DAY(DATE('Billable summary'!$C$4,9,0)),DATE('Billable summary'!$C$4,8,28),"")</f>
        <v>46262</v>
      </c>
      <c r="AE5" s="48" t="n">
        <f>IF(29&lt;=DAY(DATE('Billable summary'!$C$4,9,0)),DATE('Billable summary'!$C$4,8,29),"")</f>
        <v>46263</v>
      </c>
      <c r="AF5" s="48" t="n">
        <f>IF(30&lt;=DAY(DATE('Billable summary'!$C$4,9,0)),DATE('Billable summary'!$C$4,8,30),"")</f>
        <v>46264</v>
      </c>
      <c r="AG5" s="48" t="n">
        <f>IF(31&lt;=DAY(DATE('Billable summary'!$C$4,9,0)),DATE('Billable summary'!$C$4,8,31),"")</f>
        <v>46265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46235</v>
      </c>
      <c r="D6" s="142" t="n">
        <f>IF(D$5="","",D$5)</f>
        <v>46236</v>
      </c>
      <c r="E6" s="142" t="n">
        <f>IF(E$5="","",E$5)</f>
        <v>46237</v>
      </c>
      <c r="F6" s="142" t="n">
        <f>IF(F$5="","",F$5)</f>
        <v>46238</v>
      </c>
      <c r="G6" s="142" t="n">
        <f>IF(G$5="","",G$5)</f>
        <v>46239</v>
      </c>
      <c r="H6" s="142" t="n">
        <f>IF(H$5="","",H$5)</f>
        <v>46240</v>
      </c>
      <c r="I6" s="142" t="n">
        <f>IF(I$5="","",I$5)</f>
        <v>46241</v>
      </c>
      <c r="J6" s="142" t="n">
        <f>IF(J$5="","",J$5)</f>
        <v>46242</v>
      </c>
      <c r="K6" s="142" t="n">
        <f>IF(K$5="","",K$5)</f>
        <v>46243</v>
      </c>
      <c r="L6" s="142" t="n">
        <f>IF(L$5="","",L$5)</f>
        <v>46244</v>
      </c>
      <c r="M6" s="142" t="n">
        <f>IF(M$5="","",M$5)</f>
        <v>46245</v>
      </c>
      <c r="N6" s="142" t="n">
        <f>IF(N$5="","",N$5)</f>
        <v>46246</v>
      </c>
      <c r="O6" s="142" t="n">
        <f>IF(O$5="","",O$5)</f>
        <v>46247</v>
      </c>
      <c r="P6" s="142" t="n">
        <f>IF(P$5="","",P$5)</f>
        <v>46248</v>
      </c>
      <c r="Q6" s="142" t="n">
        <f>IF(Q$5="","",Q$5)</f>
        <v>46249</v>
      </c>
      <c r="R6" s="142" t="n">
        <f>IF(R$5="","",R$5)</f>
        <v>46250</v>
      </c>
      <c r="S6" s="142" t="n">
        <f>IF(S$5="","",S$5)</f>
        <v>46251</v>
      </c>
      <c r="T6" s="142" t="n">
        <f>IF(T$5="","",T$5)</f>
        <v>46252</v>
      </c>
      <c r="U6" s="142" t="n">
        <f>IF(U$5="","",U$5)</f>
        <v>46253</v>
      </c>
      <c r="V6" s="142" t="n">
        <f>IF(V$5="","",V$5)</f>
        <v>46254</v>
      </c>
      <c r="W6" s="142" t="n">
        <f>IF(W$5="","",W$5)</f>
        <v>46255</v>
      </c>
      <c r="X6" s="142" t="n">
        <f>IF(X$5="","",X$5)</f>
        <v>46256</v>
      </c>
      <c r="Y6" s="142" t="n">
        <f>IF(Y$5="","",Y$5)</f>
        <v>46257</v>
      </c>
      <c r="Z6" s="142" t="n">
        <f>IF(Z$5="","",Z$5)</f>
        <v>46258</v>
      </c>
      <c r="AA6" s="142" t="n">
        <f>IF(AA$5="","",AA$5)</f>
        <v>46259</v>
      </c>
      <c r="AB6" s="142" t="n">
        <f>IF(AB$5="","",AB$5)</f>
        <v>46260</v>
      </c>
      <c r="AC6" s="142" t="n">
        <f>IF(AC$5="","",AC$5)</f>
        <v>46261</v>
      </c>
      <c r="AD6" s="142" t="n">
        <f>IF(AD$5="","",AD$5)</f>
        <v>46262</v>
      </c>
      <c r="AE6" s="142" t="n">
        <f>IF(AE$5="","",AE$5)</f>
        <v>46263</v>
      </c>
      <c r="AF6" s="142" t="n">
        <f>IF(AF$5="","",AF$5)</f>
        <v>46264</v>
      </c>
      <c r="AG6" s="142" t="n">
        <f>IF(AG$5="","",AG$5)</f>
        <v>46265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46235</v>
      </c>
      <c r="D19" s="142" t="n">
        <f>IF(D$5="","",D$5)</f>
        <v>46236</v>
      </c>
      <c r="E19" s="142" t="n">
        <f>IF(E$5="","",E$5)</f>
        <v>46237</v>
      </c>
      <c r="F19" s="142" t="n">
        <f>IF(F$5="","",F$5)</f>
        <v>46238</v>
      </c>
      <c r="G19" s="142" t="n">
        <f>IF(G$5="","",G$5)</f>
        <v>46239</v>
      </c>
      <c r="H19" s="142" t="n">
        <f>IF(H$5="","",H$5)</f>
        <v>46240</v>
      </c>
      <c r="I19" s="142" t="n">
        <f>IF(I$5="","",I$5)</f>
        <v>46241</v>
      </c>
      <c r="J19" s="142" t="n">
        <f>IF(J$5="","",J$5)</f>
        <v>46242</v>
      </c>
      <c r="K19" s="142" t="n">
        <f>IF(K$5="","",K$5)</f>
        <v>46243</v>
      </c>
      <c r="L19" s="142" t="n">
        <f>IF(L$5="","",L$5)</f>
        <v>46244</v>
      </c>
      <c r="M19" s="142" t="n">
        <f>IF(M$5="","",M$5)</f>
        <v>46245</v>
      </c>
      <c r="N19" s="142" t="n">
        <f>IF(N$5="","",N$5)</f>
        <v>46246</v>
      </c>
      <c r="O19" s="142" t="n">
        <f>IF(O$5="","",O$5)</f>
        <v>46247</v>
      </c>
      <c r="P19" s="142" t="n">
        <f>IF(P$5="","",P$5)</f>
        <v>46248</v>
      </c>
      <c r="Q19" s="142" t="n">
        <f>IF(Q$5="","",Q$5)</f>
        <v>46249</v>
      </c>
      <c r="R19" s="142" t="n">
        <f>IF(R$5="","",R$5)</f>
        <v>46250</v>
      </c>
      <c r="S19" s="142" t="n">
        <f>IF(S$5="","",S$5)</f>
        <v>46251</v>
      </c>
      <c r="T19" s="142" t="n">
        <f>IF(T$5="","",T$5)</f>
        <v>46252</v>
      </c>
      <c r="U19" s="142" t="n">
        <f>IF(U$5="","",U$5)</f>
        <v>46253</v>
      </c>
      <c r="V19" s="142" t="n">
        <f>IF(V$5="","",V$5)</f>
        <v>46254</v>
      </c>
      <c r="W19" s="142" t="n">
        <f>IF(W$5="","",W$5)</f>
        <v>46255</v>
      </c>
      <c r="X19" s="142" t="n">
        <f>IF(X$5="","",X$5)</f>
        <v>46256</v>
      </c>
      <c r="Y19" s="142" t="n">
        <f>IF(Y$5="","",Y$5)</f>
        <v>46257</v>
      </c>
      <c r="Z19" s="142" t="n">
        <f>IF(Z$5="","",Z$5)</f>
        <v>46258</v>
      </c>
      <c r="AA19" s="142" t="n">
        <f>IF(AA$5="","",AA$5)</f>
        <v>46259</v>
      </c>
      <c r="AB19" s="142" t="n">
        <f>IF(AB$5="","",AB$5)</f>
        <v>46260</v>
      </c>
      <c r="AC19" s="142" t="n">
        <f>IF(AC$5="","",AC$5)</f>
        <v>46261</v>
      </c>
      <c r="AD19" s="142" t="n">
        <f>IF(AD$5="","",AD$5)</f>
        <v>46262</v>
      </c>
      <c r="AE19" s="142" t="n">
        <f>IF(AE$5="","",AE$5)</f>
        <v>46263</v>
      </c>
      <c r="AF19" s="142" t="n">
        <f>IF(AF$5="","",AF$5)</f>
        <v>46264</v>
      </c>
      <c r="AG19" s="142" t="n">
        <f>IF(AG$5="","",AG$5)</f>
        <v>46265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46235</v>
      </c>
      <c r="D30" s="48" t="n">
        <f>IF(D$5="","",D$5)</f>
        <v>46236</v>
      </c>
      <c r="E30" s="48" t="n">
        <f>IF(E$5="","",E$5)</f>
        <v>46237</v>
      </c>
      <c r="F30" s="48" t="n">
        <f>IF(F$5="","",F$5)</f>
        <v>46238</v>
      </c>
      <c r="G30" s="48" t="n">
        <f>IF(G$5="","",G$5)</f>
        <v>46239</v>
      </c>
      <c r="H30" s="48" t="n">
        <f>IF(H$5="","",H$5)</f>
        <v>46240</v>
      </c>
      <c r="I30" s="48" t="n">
        <f>IF(I$5="","",I$5)</f>
        <v>46241</v>
      </c>
      <c r="J30" s="48" t="n">
        <f>IF(J$5="","",J$5)</f>
        <v>46242</v>
      </c>
      <c r="K30" s="48" t="n">
        <f>IF(K$5="","",K$5)</f>
        <v>46243</v>
      </c>
      <c r="L30" s="48" t="n">
        <f>IF(L$5="","",L$5)</f>
        <v>46244</v>
      </c>
      <c r="M30" s="48" t="n">
        <f>IF(M$5="","",M$5)</f>
        <v>46245</v>
      </c>
      <c r="N30" s="48" t="n">
        <f>IF(N$5="","",N$5)</f>
        <v>46246</v>
      </c>
      <c r="O30" s="48" t="n">
        <f>IF(O$5="","",O$5)</f>
        <v>46247</v>
      </c>
      <c r="P30" s="48" t="n">
        <f>IF(P$5="","",P$5)</f>
        <v>46248</v>
      </c>
      <c r="Q30" s="48" t="n">
        <f>IF(Q$5="","",Q$5)</f>
        <v>46249</v>
      </c>
      <c r="R30" s="48" t="n">
        <f>IF(R$5="","",R$5)</f>
        <v>46250</v>
      </c>
      <c r="S30" s="48" t="n">
        <f>IF(S$5="","",S$5)</f>
        <v>46251</v>
      </c>
      <c r="T30" s="48" t="n">
        <f>IF(T$5="","",T$5)</f>
        <v>46252</v>
      </c>
      <c r="U30" s="48" t="n">
        <f>IF(U$5="","",U$5)</f>
        <v>46253</v>
      </c>
      <c r="V30" s="48" t="n">
        <f>IF(V$5="","",V$5)</f>
        <v>46254</v>
      </c>
      <c r="W30" s="48" t="n">
        <f>IF(W$5="","",W$5)</f>
        <v>46255</v>
      </c>
      <c r="X30" s="48" t="n">
        <f>IF(X$5="","",X$5)</f>
        <v>46256</v>
      </c>
      <c r="Y30" s="48" t="n">
        <f>IF(Y$5="","",Y$5)</f>
        <v>46257</v>
      </c>
      <c r="Z30" s="48" t="n">
        <f>IF(Z$5="","",Z$5)</f>
        <v>46258</v>
      </c>
      <c r="AA30" s="48" t="n">
        <f>IF(AA$5="","",AA$5)</f>
        <v>46259</v>
      </c>
      <c r="AB30" s="48" t="n">
        <f>IF(AB$5="","",AB$5)</f>
        <v>46260</v>
      </c>
      <c r="AC30" s="48" t="n">
        <f>IF(AC$5="","",AC$5)</f>
        <v>46261</v>
      </c>
      <c r="AD30" s="48" t="n">
        <f>IF(AD$5="","",AD$5)</f>
        <v>46262</v>
      </c>
      <c r="AE30" s="48" t="n">
        <f>IF(AE$5="","",AE$5)</f>
        <v>46263</v>
      </c>
      <c r="AF30" s="48" t="n">
        <f>IF(AF$5="","",AF$5)</f>
        <v>46264</v>
      </c>
      <c r="AG30" s="48" t="n">
        <f>IF(AG$5="","",AG$5)</f>
        <v>46265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46235</v>
      </c>
      <c r="D31" s="142" t="n">
        <f>IF(D$5="","",D$5)</f>
        <v>46236</v>
      </c>
      <c r="E31" s="142" t="n">
        <f>IF(E$5="","",E$5)</f>
        <v>46237</v>
      </c>
      <c r="F31" s="142" t="n">
        <f>IF(F$5="","",F$5)</f>
        <v>46238</v>
      </c>
      <c r="G31" s="142" t="n">
        <f>IF(G$5="","",G$5)</f>
        <v>46239</v>
      </c>
      <c r="H31" s="142" t="n">
        <f>IF(H$5="","",H$5)</f>
        <v>46240</v>
      </c>
      <c r="I31" s="142" t="n">
        <f>IF(I$5="","",I$5)</f>
        <v>46241</v>
      </c>
      <c r="J31" s="142" t="n">
        <f>IF(J$5="","",J$5)</f>
        <v>46242</v>
      </c>
      <c r="K31" s="142" t="n">
        <f>IF(K$5="","",K$5)</f>
        <v>46243</v>
      </c>
      <c r="L31" s="142" t="n">
        <f>IF(L$5="","",L$5)</f>
        <v>46244</v>
      </c>
      <c r="M31" s="142" t="n">
        <f>IF(M$5="","",M$5)</f>
        <v>46245</v>
      </c>
      <c r="N31" s="142" t="n">
        <f>IF(N$5="","",N$5)</f>
        <v>46246</v>
      </c>
      <c r="O31" s="142" t="n">
        <f>IF(O$5="","",O$5)</f>
        <v>46247</v>
      </c>
      <c r="P31" s="142" t="n">
        <f>IF(P$5="","",P$5)</f>
        <v>46248</v>
      </c>
      <c r="Q31" s="142" t="n">
        <f>IF(Q$5="","",Q$5)</f>
        <v>46249</v>
      </c>
      <c r="R31" s="142" t="n">
        <f>IF(R$5="","",R$5)</f>
        <v>46250</v>
      </c>
      <c r="S31" s="142" t="n">
        <f>IF(S$5="","",S$5)</f>
        <v>46251</v>
      </c>
      <c r="T31" s="142" t="n">
        <f>IF(T$5="","",T$5)</f>
        <v>46252</v>
      </c>
      <c r="U31" s="142" t="n">
        <f>IF(U$5="","",U$5)</f>
        <v>46253</v>
      </c>
      <c r="V31" s="142" t="n">
        <f>IF(V$5="","",V$5)</f>
        <v>46254</v>
      </c>
      <c r="W31" s="142" t="n">
        <f>IF(W$5="","",W$5)</f>
        <v>46255</v>
      </c>
      <c r="X31" s="142" t="n">
        <f>IF(X$5="","",X$5)</f>
        <v>46256</v>
      </c>
      <c r="Y31" s="142" t="n">
        <f>IF(Y$5="","",Y$5)</f>
        <v>46257</v>
      </c>
      <c r="Z31" s="142" t="n">
        <f>IF(Z$5="","",Z$5)</f>
        <v>46258</v>
      </c>
      <c r="AA31" s="142" t="n">
        <f>IF(AA$5="","",AA$5)</f>
        <v>46259</v>
      </c>
      <c r="AB31" s="142" t="n">
        <f>IF(AB$5="","",AB$5)</f>
        <v>46260</v>
      </c>
      <c r="AC31" s="142" t="n">
        <f>IF(AC$5="","",AC$5)</f>
        <v>46261</v>
      </c>
      <c r="AD31" s="142" t="n">
        <f>IF(AD$5="","",AD$5)</f>
        <v>46262</v>
      </c>
      <c r="AE31" s="142" t="n">
        <f>IF(AE$5="","",AE$5)</f>
        <v>46263</v>
      </c>
      <c r="AF31" s="142" t="n">
        <f>IF(AF$5="","",AF$5)</f>
        <v>46264</v>
      </c>
      <c r="AG31" s="142" t="n">
        <f>IF(AG$5="","",AG$5)</f>
        <v>46265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summary'!$C$4,8,1),DATE('Billable summary'!$C$4,9,0))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36" priority="1">
      <formula>OR(C$5="",WEEKDAY(C$5,2)&gt;5)</formula>
    </cfRule>
    <cfRule type="expression" dxfId="137" priority="2">
      <formula>AND(C$5="",NOT(ISBLANK(C7)))</formula>
    </cfRule>
  </conditionalFormatting>
  <conditionalFormatting sqref="C20:AG25">
    <cfRule type="expression" dxfId="138" priority="3">
      <formula>OR(C$5="",WEEKDAY(C$5,2)&gt;5)</formula>
    </cfRule>
    <cfRule type="expression" dxfId="139" priority="4">
      <formula>AND(C$5="",NOT(ISBLANK(C20)))</formula>
    </cfRule>
  </conditionalFormatting>
  <conditionalFormatting sqref="C32:AG35">
    <cfRule type="expression" dxfId="140" priority="5">
      <formula>OR(C$5="",WEEKDAY(C$5,2)&gt;5)</formula>
    </cfRule>
    <cfRule type="expression" dxfId="141" priority="6">
      <formula>AND(C$5="",NOT(ISBLANK(C32)))</formula>
    </cfRule>
  </conditionalFormatting>
  <conditionalFormatting sqref="I43:K43">
    <cfRule type="expression" dxfId="142" priority="7">
      <formula>AND(ISNUMBER($I$43),$I$43&gt;=$I$44)</formula>
    </cfRule>
    <cfRule type="expression" dxfId="143" priority="8">
      <formula>AND(ISNUMBER($I$43),$I$43&lt;$I$44)</formula>
    </cfRule>
  </conditionalFormatting>
  <conditionalFormatting sqref="B51:AH51">
    <cfRule type="containsText" dxfId="144" priority="9" operator="containsText" text="Check"/>
    <cfRule type="containsText" dxfId="145" priority="10" operator="containsText" text="Invalid"/>
    <cfRule type="containsText" dxfId="146" priority="11" operator="containsText" text="Negative"/>
    <cfRule type="containsText" dxfId="14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summary'!$C$4,9,1),"mmmm yyyy")</f>
        <v>September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summary'!$C$4,10,0)),DATE('Billable summary'!$C$4,9,1),"")</f>
        <v>46266</v>
      </c>
      <c r="D5" s="48" t="n">
        <f>IF(2&lt;=DAY(DATE('Billable summary'!$C$4,10,0)),DATE('Billable summary'!$C$4,9,2),"")</f>
        <v>46267</v>
      </c>
      <c r="E5" s="48" t="n">
        <f>IF(3&lt;=DAY(DATE('Billable summary'!$C$4,10,0)),DATE('Billable summary'!$C$4,9,3),"")</f>
        <v>46268</v>
      </c>
      <c r="F5" s="48" t="n">
        <f>IF(4&lt;=DAY(DATE('Billable summary'!$C$4,10,0)),DATE('Billable summary'!$C$4,9,4),"")</f>
        <v>46269</v>
      </c>
      <c r="G5" s="48" t="n">
        <f>IF(5&lt;=DAY(DATE('Billable summary'!$C$4,10,0)),DATE('Billable summary'!$C$4,9,5),"")</f>
        <v>46270</v>
      </c>
      <c r="H5" s="48" t="n">
        <f>IF(6&lt;=DAY(DATE('Billable summary'!$C$4,10,0)),DATE('Billable summary'!$C$4,9,6),"")</f>
        <v>46271</v>
      </c>
      <c r="I5" s="48" t="n">
        <f>IF(7&lt;=DAY(DATE('Billable summary'!$C$4,10,0)),DATE('Billable summary'!$C$4,9,7),"")</f>
        <v>46272</v>
      </c>
      <c r="J5" s="48" t="n">
        <f>IF(8&lt;=DAY(DATE('Billable summary'!$C$4,10,0)),DATE('Billable summary'!$C$4,9,8),"")</f>
        <v>46273</v>
      </c>
      <c r="K5" s="48" t="n">
        <f>IF(9&lt;=DAY(DATE('Billable summary'!$C$4,10,0)),DATE('Billable summary'!$C$4,9,9),"")</f>
        <v>46274</v>
      </c>
      <c r="L5" s="48" t="n">
        <f>IF(10&lt;=DAY(DATE('Billable summary'!$C$4,10,0)),DATE('Billable summary'!$C$4,9,10),"")</f>
        <v>46275</v>
      </c>
      <c r="M5" s="48" t="n">
        <f>IF(11&lt;=DAY(DATE('Billable summary'!$C$4,10,0)),DATE('Billable summary'!$C$4,9,11),"")</f>
        <v>46276</v>
      </c>
      <c r="N5" s="48" t="n">
        <f>IF(12&lt;=DAY(DATE('Billable summary'!$C$4,10,0)),DATE('Billable summary'!$C$4,9,12),"")</f>
        <v>46277</v>
      </c>
      <c r="O5" s="48" t="n">
        <f>IF(13&lt;=DAY(DATE('Billable summary'!$C$4,10,0)),DATE('Billable summary'!$C$4,9,13),"")</f>
        <v>46278</v>
      </c>
      <c r="P5" s="48" t="n">
        <f>IF(14&lt;=DAY(DATE('Billable summary'!$C$4,10,0)),DATE('Billable summary'!$C$4,9,14),"")</f>
        <v>46279</v>
      </c>
      <c r="Q5" s="48" t="n">
        <f>IF(15&lt;=DAY(DATE('Billable summary'!$C$4,10,0)),DATE('Billable summary'!$C$4,9,15),"")</f>
        <v>46280</v>
      </c>
      <c r="R5" s="48" t="n">
        <f>IF(16&lt;=DAY(DATE('Billable summary'!$C$4,10,0)),DATE('Billable summary'!$C$4,9,16),"")</f>
        <v>46281</v>
      </c>
      <c r="S5" s="48" t="n">
        <f>IF(17&lt;=DAY(DATE('Billable summary'!$C$4,10,0)),DATE('Billable summary'!$C$4,9,17),"")</f>
        <v>46282</v>
      </c>
      <c r="T5" s="48" t="n">
        <f>IF(18&lt;=DAY(DATE('Billable summary'!$C$4,10,0)),DATE('Billable summary'!$C$4,9,18),"")</f>
        <v>46283</v>
      </c>
      <c r="U5" s="48" t="n">
        <f>IF(19&lt;=DAY(DATE('Billable summary'!$C$4,10,0)),DATE('Billable summary'!$C$4,9,19),"")</f>
        <v>46284</v>
      </c>
      <c r="V5" s="48" t="n">
        <f>IF(20&lt;=DAY(DATE('Billable summary'!$C$4,10,0)),DATE('Billable summary'!$C$4,9,20),"")</f>
        <v>46285</v>
      </c>
      <c r="W5" s="48" t="n">
        <f>IF(21&lt;=DAY(DATE('Billable summary'!$C$4,10,0)),DATE('Billable summary'!$C$4,9,21),"")</f>
        <v>46286</v>
      </c>
      <c r="X5" s="48" t="n">
        <f>IF(22&lt;=DAY(DATE('Billable summary'!$C$4,10,0)),DATE('Billable summary'!$C$4,9,22),"")</f>
        <v>46287</v>
      </c>
      <c r="Y5" s="48" t="n">
        <f>IF(23&lt;=DAY(DATE('Billable summary'!$C$4,10,0)),DATE('Billable summary'!$C$4,9,23),"")</f>
        <v>46288</v>
      </c>
      <c r="Z5" s="48" t="n">
        <f>IF(24&lt;=DAY(DATE('Billable summary'!$C$4,10,0)),DATE('Billable summary'!$C$4,9,24),"")</f>
        <v>46289</v>
      </c>
      <c r="AA5" s="48" t="n">
        <f>IF(25&lt;=DAY(DATE('Billable summary'!$C$4,10,0)),DATE('Billable summary'!$C$4,9,25),"")</f>
        <v>46290</v>
      </c>
      <c r="AB5" s="48" t="n">
        <f>IF(26&lt;=DAY(DATE('Billable summary'!$C$4,10,0)),DATE('Billable summary'!$C$4,9,26),"")</f>
        <v>46291</v>
      </c>
      <c r="AC5" s="48" t="n">
        <f>IF(27&lt;=DAY(DATE('Billable summary'!$C$4,10,0)),DATE('Billable summary'!$C$4,9,27),"")</f>
        <v>46292</v>
      </c>
      <c r="AD5" s="48" t="n">
        <f>IF(28&lt;=DAY(DATE('Billable summary'!$C$4,10,0)),DATE('Billable summary'!$C$4,9,28),"")</f>
        <v>46293</v>
      </c>
      <c r="AE5" s="48" t="n">
        <f>IF(29&lt;=DAY(DATE('Billable summary'!$C$4,10,0)),DATE('Billable summary'!$C$4,9,29),"")</f>
        <v>46294</v>
      </c>
      <c r="AF5" s="48" t="n">
        <f>IF(30&lt;=DAY(DATE('Billable summary'!$C$4,10,0)),DATE('Billable summary'!$C$4,9,30),"")</f>
        <v>46295</v>
      </c>
      <c r="AG5" s="48" t="str">
        <f>IF(31&lt;=DAY(DATE('Billable summary'!$C$4,10,0)),DATE('Billable summary'!$C$4,9,31),"")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46266</v>
      </c>
      <c r="D6" s="142" t="n">
        <f>IF(D$5="","",D$5)</f>
        <v>46267</v>
      </c>
      <c r="E6" s="142" t="n">
        <f>IF(E$5="","",E$5)</f>
        <v>46268</v>
      </c>
      <c r="F6" s="142" t="n">
        <f>IF(F$5="","",F$5)</f>
        <v>46269</v>
      </c>
      <c r="G6" s="142" t="n">
        <f>IF(G$5="","",G$5)</f>
        <v>46270</v>
      </c>
      <c r="H6" s="142" t="n">
        <f>IF(H$5="","",H$5)</f>
        <v>46271</v>
      </c>
      <c r="I6" s="142" t="n">
        <f>IF(I$5="","",I$5)</f>
        <v>46272</v>
      </c>
      <c r="J6" s="142" t="n">
        <f>IF(J$5="","",J$5)</f>
        <v>46273</v>
      </c>
      <c r="K6" s="142" t="n">
        <f>IF(K$5="","",K$5)</f>
        <v>46274</v>
      </c>
      <c r="L6" s="142" t="n">
        <f>IF(L$5="","",L$5)</f>
        <v>46275</v>
      </c>
      <c r="M6" s="142" t="n">
        <f>IF(M$5="","",M$5)</f>
        <v>46276</v>
      </c>
      <c r="N6" s="142" t="n">
        <f>IF(N$5="","",N$5)</f>
        <v>46277</v>
      </c>
      <c r="O6" s="142" t="n">
        <f>IF(O$5="","",O$5)</f>
        <v>46278</v>
      </c>
      <c r="P6" s="142" t="n">
        <f>IF(P$5="","",P$5)</f>
        <v>46279</v>
      </c>
      <c r="Q6" s="142" t="n">
        <f>IF(Q$5="","",Q$5)</f>
        <v>46280</v>
      </c>
      <c r="R6" s="142" t="n">
        <f>IF(R$5="","",R$5)</f>
        <v>46281</v>
      </c>
      <c r="S6" s="142" t="n">
        <f>IF(S$5="","",S$5)</f>
        <v>46282</v>
      </c>
      <c r="T6" s="142" t="n">
        <f>IF(T$5="","",T$5)</f>
        <v>46283</v>
      </c>
      <c r="U6" s="142" t="n">
        <f>IF(U$5="","",U$5)</f>
        <v>46284</v>
      </c>
      <c r="V6" s="142" t="n">
        <f>IF(V$5="","",V$5)</f>
        <v>46285</v>
      </c>
      <c r="W6" s="142" t="n">
        <f>IF(W$5="","",W$5)</f>
        <v>46286</v>
      </c>
      <c r="X6" s="142" t="n">
        <f>IF(X$5="","",X$5)</f>
        <v>46287</v>
      </c>
      <c r="Y6" s="142" t="n">
        <f>IF(Y$5="","",Y$5)</f>
        <v>46288</v>
      </c>
      <c r="Z6" s="142" t="n">
        <f>IF(Z$5="","",Z$5)</f>
        <v>46289</v>
      </c>
      <c r="AA6" s="142" t="n">
        <f>IF(AA$5="","",AA$5)</f>
        <v>46290</v>
      </c>
      <c r="AB6" s="142" t="n">
        <f>IF(AB$5="","",AB$5)</f>
        <v>46291</v>
      </c>
      <c r="AC6" s="142" t="n">
        <f>IF(AC$5="","",AC$5)</f>
        <v>46292</v>
      </c>
      <c r="AD6" s="142" t="n">
        <f>IF(AD$5="","",AD$5)</f>
        <v>46293</v>
      </c>
      <c r="AE6" s="142" t="n">
        <f>IF(AE$5="","",AE$5)</f>
        <v>46294</v>
      </c>
      <c r="AF6" s="142" t="n">
        <f>IF(AF$5="","",AF$5)</f>
        <v>46295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46266</v>
      </c>
      <c r="D19" s="142" t="n">
        <f>IF(D$5="","",D$5)</f>
        <v>46267</v>
      </c>
      <c r="E19" s="142" t="n">
        <f>IF(E$5="","",E$5)</f>
        <v>46268</v>
      </c>
      <c r="F19" s="142" t="n">
        <f>IF(F$5="","",F$5)</f>
        <v>46269</v>
      </c>
      <c r="G19" s="142" t="n">
        <f>IF(G$5="","",G$5)</f>
        <v>46270</v>
      </c>
      <c r="H19" s="142" t="n">
        <f>IF(H$5="","",H$5)</f>
        <v>46271</v>
      </c>
      <c r="I19" s="142" t="n">
        <f>IF(I$5="","",I$5)</f>
        <v>46272</v>
      </c>
      <c r="J19" s="142" t="n">
        <f>IF(J$5="","",J$5)</f>
        <v>46273</v>
      </c>
      <c r="K19" s="142" t="n">
        <f>IF(K$5="","",K$5)</f>
        <v>46274</v>
      </c>
      <c r="L19" s="142" t="n">
        <f>IF(L$5="","",L$5)</f>
        <v>46275</v>
      </c>
      <c r="M19" s="142" t="n">
        <f>IF(M$5="","",M$5)</f>
        <v>46276</v>
      </c>
      <c r="N19" s="142" t="n">
        <f>IF(N$5="","",N$5)</f>
        <v>46277</v>
      </c>
      <c r="O19" s="142" t="n">
        <f>IF(O$5="","",O$5)</f>
        <v>46278</v>
      </c>
      <c r="P19" s="142" t="n">
        <f>IF(P$5="","",P$5)</f>
        <v>46279</v>
      </c>
      <c r="Q19" s="142" t="n">
        <f>IF(Q$5="","",Q$5)</f>
        <v>46280</v>
      </c>
      <c r="R19" s="142" t="n">
        <f>IF(R$5="","",R$5)</f>
        <v>46281</v>
      </c>
      <c r="S19" s="142" t="n">
        <f>IF(S$5="","",S$5)</f>
        <v>46282</v>
      </c>
      <c r="T19" s="142" t="n">
        <f>IF(T$5="","",T$5)</f>
        <v>46283</v>
      </c>
      <c r="U19" s="142" t="n">
        <f>IF(U$5="","",U$5)</f>
        <v>46284</v>
      </c>
      <c r="V19" s="142" t="n">
        <f>IF(V$5="","",V$5)</f>
        <v>46285</v>
      </c>
      <c r="W19" s="142" t="n">
        <f>IF(W$5="","",W$5)</f>
        <v>46286</v>
      </c>
      <c r="X19" s="142" t="n">
        <f>IF(X$5="","",X$5)</f>
        <v>46287</v>
      </c>
      <c r="Y19" s="142" t="n">
        <f>IF(Y$5="","",Y$5)</f>
        <v>46288</v>
      </c>
      <c r="Z19" s="142" t="n">
        <f>IF(Z$5="","",Z$5)</f>
        <v>46289</v>
      </c>
      <c r="AA19" s="142" t="n">
        <f>IF(AA$5="","",AA$5)</f>
        <v>46290</v>
      </c>
      <c r="AB19" s="142" t="n">
        <f>IF(AB$5="","",AB$5)</f>
        <v>46291</v>
      </c>
      <c r="AC19" s="142" t="n">
        <f>IF(AC$5="","",AC$5)</f>
        <v>46292</v>
      </c>
      <c r="AD19" s="142" t="n">
        <f>IF(AD$5="","",AD$5)</f>
        <v>46293</v>
      </c>
      <c r="AE19" s="142" t="n">
        <f>IF(AE$5="","",AE$5)</f>
        <v>46294</v>
      </c>
      <c r="AF19" s="142" t="n">
        <f>IF(AF$5="","",AF$5)</f>
        <v>46295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46266</v>
      </c>
      <c r="D30" s="48" t="n">
        <f>IF(D$5="","",D$5)</f>
        <v>46267</v>
      </c>
      <c r="E30" s="48" t="n">
        <f>IF(E$5="","",E$5)</f>
        <v>46268</v>
      </c>
      <c r="F30" s="48" t="n">
        <f>IF(F$5="","",F$5)</f>
        <v>46269</v>
      </c>
      <c r="G30" s="48" t="n">
        <f>IF(G$5="","",G$5)</f>
        <v>46270</v>
      </c>
      <c r="H30" s="48" t="n">
        <f>IF(H$5="","",H$5)</f>
        <v>46271</v>
      </c>
      <c r="I30" s="48" t="n">
        <f>IF(I$5="","",I$5)</f>
        <v>46272</v>
      </c>
      <c r="J30" s="48" t="n">
        <f>IF(J$5="","",J$5)</f>
        <v>46273</v>
      </c>
      <c r="K30" s="48" t="n">
        <f>IF(K$5="","",K$5)</f>
        <v>46274</v>
      </c>
      <c r="L30" s="48" t="n">
        <f>IF(L$5="","",L$5)</f>
        <v>46275</v>
      </c>
      <c r="M30" s="48" t="n">
        <f>IF(M$5="","",M$5)</f>
        <v>46276</v>
      </c>
      <c r="N30" s="48" t="n">
        <f>IF(N$5="","",N$5)</f>
        <v>46277</v>
      </c>
      <c r="O30" s="48" t="n">
        <f>IF(O$5="","",O$5)</f>
        <v>46278</v>
      </c>
      <c r="P30" s="48" t="n">
        <f>IF(P$5="","",P$5)</f>
        <v>46279</v>
      </c>
      <c r="Q30" s="48" t="n">
        <f>IF(Q$5="","",Q$5)</f>
        <v>46280</v>
      </c>
      <c r="R30" s="48" t="n">
        <f>IF(R$5="","",R$5)</f>
        <v>46281</v>
      </c>
      <c r="S30" s="48" t="n">
        <f>IF(S$5="","",S$5)</f>
        <v>46282</v>
      </c>
      <c r="T30" s="48" t="n">
        <f>IF(T$5="","",T$5)</f>
        <v>46283</v>
      </c>
      <c r="U30" s="48" t="n">
        <f>IF(U$5="","",U$5)</f>
        <v>46284</v>
      </c>
      <c r="V30" s="48" t="n">
        <f>IF(V$5="","",V$5)</f>
        <v>46285</v>
      </c>
      <c r="W30" s="48" t="n">
        <f>IF(W$5="","",W$5)</f>
        <v>46286</v>
      </c>
      <c r="X30" s="48" t="n">
        <f>IF(X$5="","",X$5)</f>
        <v>46287</v>
      </c>
      <c r="Y30" s="48" t="n">
        <f>IF(Y$5="","",Y$5)</f>
        <v>46288</v>
      </c>
      <c r="Z30" s="48" t="n">
        <f>IF(Z$5="","",Z$5)</f>
        <v>46289</v>
      </c>
      <c r="AA30" s="48" t="n">
        <f>IF(AA$5="","",AA$5)</f>
        <v>46290</v>
      </c>
      <c r="AB30" s="48" t="n">
        <f>IF(AB$5="","",AB$5)</f>
        <v>46291</v>
      </c>
      <c r="AC30" s="48" t="n">
        <f>IF(AC$5="","",AC$5)</f>
        <v>46292</v>
      </c>
      <c r="AD30" s="48" t="n">
        <f>IF(AD$5="","",AD$5)</f>
        <v>46293</v>
      </c>
      <c r="AE30" s="48" t="n">
        <f>IF(AE$5="","",AE$5)</f>
        <v>46294</v>
      </c>
      <c r="AF30" s="48" t="n">
        <f>IF(AF$5="","",AF$5)</f>
        <v>46295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46266</v>
      </c>
      <c r="D31" s="142" t="n">
        <f>IF(D$5="","",D$5)</f>
        <v>46267</v>
      </c>
      <c r="E31" s="142" t="n">
        <f>IF(E$5="","",E$5)</f>
        <v>46268</v>
      </c>
      <c r="F31" s="142" t="n">
        <f>IF(F$5="","",F$5)</f>
        <v>46269</v>
      </c>
      <c r="G31" s="142" t="n">
        <f>IF(G$5="","",G$5)</f>
        <v>46270</v>
      </c>
      <c r="H31" s="142" t="n">
        <f>IF(H$5="","",H$5)</f>
        <v>46271</v>
      </c>
      <c r="I31" s="142" t="n">
        <f>IF(I$5="","",I$5)</f>
        <v>46272</v>
      </c>
      <c r="J31" s="142" t="n">
        <f>IF(J$5="","",J$5)</f>
        <v>46273</v>
      </c>
      <c r="K31" s="142" t="n">
        <f>IF(K$5="","",K$5)</f>
        <v>46274</v>
      </c>
      <c r="L31" s="142" t="n">
        <f>IF(L$5="","",L$5)</f>
        <v>46275</v>
      </c>
      <c r="M31" s="142" t="n">
        <f>IF(M$5="","",M$5)</f>
        <v>46276</v>
      </c>
      <c r="N31" s="142" t="n">
        <f>IF(N$5="","",N$5)</f>
        <v>46277</v>
      </c>
      <c r="O31" s="142" t="n">
        <f>IF(O$5="","",O$5)</f>
        <v>46278</v>
      </c>
      <c r="P31" s="142" t="n">
        <f>IF(P$5="","",P$5)</f>
        <v>46279</v>
      </c>
      <c r="Q31" s="142" t="n">
        <f>IF(Q$5="","",Q$5)</f>
        <v>46280</v>
      </c>
      <c r="R31" s="142" t="n">
        <f>IF(R$5="","",R$5)</f>
        <v>46281</v>
      </c>
      <c r="S31" s="142" t="n">
        <f>IF(S$5="","",S$5)</f>
        <v>46282</v>
      </c>
      <c r="T31" s="142" t="n">
        <f>IF(T$5="","",T$5)</f>
        <v>46283</v>
      </c>
      <c r="U31" s="142" t="n">
        <f>IF(U$5="","",U$5)</f>
        <v>46284</v>
      </c>
      <c r="V31" s="142" t="n">
        <f>IF(V$5="","",V$5)</f>
        <v>46285</v>
      </c>
      <c r="W31" s="142" t="n">
        <f>IF(W$5="","",W$5)</f>
        <v>46286</v>
      </c>
      <c r="X31" s="142" t="n">
        <f>IF(X$5="","",X$5)</f>
        <v>46287</v>
      </c>
      <c r="Y31" s="142" t="n">
        <f>IF(Y$5="","",Y$5)</f>
        <v>46288</v>
      </c>
      <c r="Z31" s="142" t="n">
        <f>IF(Z$5="","",Z$5)</f>
        <v>46289</v>
      </c>
      <c r="AA31" s="142" t="n">
        <f>IF(AA$5="","",AA$5)</f>
        <v>46290</v>
      </c>
      <c r="AB31" s="142" t="n">
        <f>IF(AB$5="","",AB$5)</f>
        <v>46291</v>
      </c>
      <c r="AC31" s="142" t="n">
        <f>IF(AC$5="","",AC$5)</f>
        <v>46292</v>
      </c>
      <c r="AD31" s="142" t="n">
        <f>IF(AD$5="","",AD$5)</f>
        <v>46293</v>
      </c>
      <c r="AE31" s="142" t="n">
        <f>IF(AE$5="","",AE$5)</f>
        <v>46294</v>
      </c>
      <c r="AF31" s="142" t="n">
        <f>IF(AF$5="","",AF$5)</f>
        <v>46295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summary'!$C$4,9,1),DATE('Billable summary'!$C$4,10,0))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48" priority="1">
      <formula>OR(C$5="",WEEKDAY(C$5,2)&gt;5)</formula>
    </cfRule>
    <cfRule type="expression" dxfId="149" priority="2">
      <formula>AND(C$5="",NOT(ISBLANK(C7)))</formula>
    </cfRule>
  </conditionalFormatting>
  <conditionalFormatting sqref="C20:AG25">
    <cfRule type="expression" dxfId="150" priority="3">
      <formula>OR(C$5="",WEEKDAY(C$5,2)&gt;5)</formula>
    </cfRule>
    <cfRule type="expression" dxfId="151" priority="4">
      <formula>AND(C$5="",NOT(ISBLANK(C20)))</formula>
    </cfRule>
  </conditionalFormatting>
  <conditionalFormatting sqref="C32:AG35">
    <cfRule type="expression" dxfId="152" priority="5">
      <formula>OR(C$5="",WEEKDAY(C$5,2)&gt;5)</formula>
    </cfRule>
    <cfRule type="expression" dxfId="153" priority="6">
      <formula>AND(C$5="",NOT(ISBLANK(C32)))</formula>
    </cfRule>
  </conditionalFormatting>
  <conditionalFormatting sqref="I43:K43">
    <cfRule type="expression" dxfId="154" priority="7">
      <formula>AND(ISNUMBER($I$43),$I$43&gt;=$I$44)</formula>
    </cfRule>
    <cfRule type="expression" dxfId="155" priority="8">
      <formula>AND(ISNUMBER($I$43),$I$43&lt;$I$44)</formula>
    </cfRule>
  </conditionalFormatting>
  <conditionalFormatting sqref="B51:AH51">
    <cfRule type="containsText" dxfId="156" priority="9" operator="containsText" text="Check"/>
    <cfRule type="containsText" dxfId="157" priority="10" operator="containsText" text="Invalid"/>
    <cfRule type="containsText" dxfId="158" priority="11" operator="containsText" text="Negative"/>
    <cfRule type="containsText" dxfId="15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summary'!$C$4,10,1),"mmmm yyyy")</f>
        <v>October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summary'!$C$4,11,0)),DATE('Billable summary'!$C$4,10,1),"")</f>
        <v>46296</v>
      </c>
      <c r="D5" s="48" t="n">
        <f>IF(2&lt;=DAY(DATE('Billable summary'!$C$4,11,0)),DATE('Billable summary'!$C$4,10,2),"")</f>
        <v>46297</v>
      </c>
      <c r="E5" s="48" t="n">
        <f>IF(3&lt;=DAY(DATE('Billable summary'!$C$4,11,0)),DATE('Billable summary'!$C$4,10,3),"")</f>
        <v>46298</v>
      </c>
      <c r="F5" s="48" t="n">
        <f>IF(4&lt;=DAY(DATE('Billable summary'!$C$4,11,0)),DATE('Billable summary'!$C$4,10,4),"")</f>
        <v>46299</v>
      </c>
      <c r="G5" s="48" t="n">
        <f>IF(5&lt;=DAY(DATE('Billable summary'!$C$4,11,0)),DATE('Billable summary'!$C$4,10,5),"")</f>
        <v>46300</v>
      </c>
      <c r="H5" s="48" t="n">
        <f>IF(6&lt;=DAY(DATE('Billable summary'!$C$4,11,0)),DATE('Billable summary'!$C$4,10,6),"")</f>
        <v>46301</v>
      </c>
      <c r="I5" s="48" t="n">
        <f>IF(7&lt;=DAY(DATE('Billable summary'!$C$4,11,0)),DATE('Billable summary'!$C$4,10,7),"")</f>
        <v>46302</v>
      </c>
      <c r="J5" s="48" t="n">
        <f>IF(8&lt;=DAY(DATE('Billable summary'!$C$4,11,0)),DATE('Billable summary'!$C$4,10,8),"")</f>
        <v>46303</v>
      </c>
      <c r="K5" s="48" t="n">
        <f>IF(9&lt;=DAY(DATE('Billable summary'!$C$4,11,0)),DATE('Billable summary'!$C$4,10,9),"")</f>
        <v>46304</v>
      </c>
      <c r="L5" s="48" t="n">
        <f>IF(10&lt;=DAY(DATE('Billable summary'!$C$4,11,0)),DATE('Billable summary'!$C$4,10,10),"")</f>
        <v>46305</v>
      </c>
      <c r="M5" s="48" t="n">
        <f>IF(11&lt;=DAY(DATE('Billable summary'!$C$4,11,0)),DATE('Billable summary'!$C$4,10,11),"")</f>
        <v>46306</v>
      </c>
      <c r="N5" s="48" t="n">
        <f>IF(12&lt;=DAY(DATE('Billable summary'!$C$4,11,0)),DATE('Billable summary'!$C$4,10,12),"")</f>
        <v>46307</v>
      </c>
      <c r="O5" s="48" t="n">
        <f>IF(13&lt;=DAY(DATE('Billable summary'!$C$4,11,0)),DATE('Billable summary'!$C$4,10,13),"")</f>
        <v>46308</v>
      </c>
      <c r="P5" s="48" t="n">
        <f>IF(14&lt;=DAY(DATE('Billable summary'!$C$4,11,0)),DATE('Billable summary'!$C$4,10,14),"")</f>
        <v>46309</v>
      </c>
      <c r="Q5" s="48" t="n">
        <f>IF(15&lt;=DAY(DATE('Billable summary'!$C$4,11,0)),DATE('Billable summary'!$C$4,10,15),"")</f>
        <v>46310</v>
      </c>
      <c r="R5" s="48" t="n">
        <f>IF(16&lt;=DAY(DATE('Billable summary'!$C$4,11,0)),DATE('Billable summary'!$C$4,10,16),"")</f>
        <v>46311</v>
      </c>
      <c r="S5" s="48" t="n">
        <f>IF(17&lt;=DAY(DATE('Billable summary'!$C$4,11,0)),DATE('Billable summary'!$C$4,10,17),"")</f>
        <v>46312</v>
      </c>
      <c r="T5" s="48" t="n">
        <f>IF(18&lt;=DAY(DATE('Billable summary'!$C$4,11,0)),DATE('Billable summary'!$C$4,10,18),"")</f>
        <v>46313</v>
      </c>
      <c r="U5" s="48" t="n">
        <f>IF(19&lt;=DAY(DATE('Billable summary'!$C$4,11,0)),DATE('Billable summary'!$C$4,10,19),"")</f>
        <v>46314</v>
      </c>
      <c r="V5" s="48" t="n">
        <f>IF(20&lt;=DAY(DATE('Billable summary'!$C$4,11,0)),DATE('Billable summary'!$C$4,10,20),"")</f>
        <v>46315</v>
      </c>
      <c r="W5" s="48" t="n">
        <f>IF(21&lt;=DAY(DATE('Billable summary'!$C$4,11,0)),DATE('Billable summary'!$C$4,10,21),"")</f>
        <v>46316</v>
      </c>
      <c r="X5" s="48" t="n">
        <f>IF(22&lt;=DAY(DATE('Billable summary'!$C$4,11,0)),DATE('Billable summary'!$C$4,10,22),"")</f>
        <v>46317</v>
      </c>
      <c r="Y5" s="48" t="n">
        <f>IF(23&lt;=DAY(DATE('Billable summary'!$C$4,11,0)),DATE('Billable summary'!$C$4,10,23),"")</f>
        <v>46318</v>
      </c>
      <c r="Z5" s="48" t="n">
        <f>IF(24&lt;=DAY(DATE('Billable summary'!$C$4,11,0)),DATE('Billable summary'!$C$4,10,24),"")</f>
        <v>46319</v>
      </c>
      <c r="AA5" s="48" t="n">
        <f>IF(25&lt;=DAY(DATE('Billable summary'!$C$4,11,0)),DATE('Billable summary'!$C$4,10,25),"")</f>
        <v>46320</v>
      </c>
      <c r="AB5" s="48" t="n">
        <f>IF(26&lt;=DAY(DATE('Billable summary'!$C$4,11,0)),DATE('Billable summary'!$C$4,10,26),"")</f>
        <v>46321</v>
      </c>
      <c r="AC5" s="48" t="n">
        <f>IF(27&lt;=DAY(DATE('Billable summary'!$C$4,11,0)),DATE('Billable summary'!$C$4,10,27),"")</f>
        <v>46322</v>
      </c>
      <c r="AD5" s="48" t="n">
        <f>IF(28&lt;=DAY(DATE('Billable summary'!$C$4,11,0)),DATE('Billable summary'!$C$4,10,28),"")</f>
        <v>46323</v>
      </c>
      <c r="AE5" s="48" t="n">
        <f>IF(29&lt;=DAY(DATE('Billable summary'!$C$4,11,0)),DATE('Billable summary'!$C$4,10,29),"")</f>
        <v>46324</v>
      </c>
      <c r="AF5" s="48" t="n">
        <f>IF(30&lt;=DAY(DATE('Billable summary'!$C$4,11,0)),DATE('Billable summary'!$C$4,10,30),"")</f>
        <v>46325</v>
      </c>
      <c r="AG5" s="48" t="n">
        <f>IF(31&lt;=DAY(DATE('Billable summary'!$C$4,11,0)),DATE('Billable summary'!$C$4,10,31),"")</f>
        <v>46326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46296</v>
      </c>
      <c r="D6" s="142" t="n">
        <f>IF(D$5="","",D$5)</f>
        <v>46297</v>
      </c>
      <c r="E6" s="142" t="n">
        <f>IF(E$5="","",E$5)</f>
        <v>46298</v>
      </c>
      <c r="F6" s="142" t="n">
        <f>IF(F$5="","",F$5)</f>
        <v>46299</v>
      </c>
      <c r="G6" s="142" t="n">
        <f>IF(G$5="","",G$5)</f>
        <v>46300</v>
      </c>
      <c r="H6" s="142" t="n">
        <f>IF(H$5="","",H$5)</f>
        <v>46301</v>
      </c>
      <c r="I6" s="142" t="n">
        <f>IF(I$5="","",I$5)</f>
        <v>46302</v>
      </c>
      <c r="J6" s="142" t="n">
        <f>IF(J$5="","",J$5)</f>
        <v>46303</v>
      </c>
      <c r="K6" s="142" t="n">
        <f>IF(K$5="","",K$5)</f>
        <v>46304</v>
      </c>
      <c r="L6" s="142" t="n">
        <f>IF(L$5="","",L$5)</f>
        <v>46305</v>
      </c>
      <c r="M6" s="142" t="n">
        <f>IF(M$5="","",M$5)</f>
        <v>46306</v>
      </c>
      <c r="N6" s="142" t="n">
        <f>IF(N$5="","",N$5)</f>
        <v>46307</v>
      </c>
      <c r="O6" s="142" t="n">
        <f>IF(O$5="","",O$5)</f>
        <v>46308</v>
      </c>
      <c r="P6" s="142" t="n">
        <f>IF(P$5="","",P$5)</f>
        <v>46309</v>
      </c>
      <c r="Q6" s="142" t="n">
        <f>IF(Q$5="","",Q$5)</f>
        <v>46310</v>
      </c>
      <c r="R6" s="142" t="n">
        <f>IF(R$5="","",R$5)</f>
        <v>46311</v>
      </c>
      <c r="S6" s="142" t="n">
        <f>IF(S$5="","",S$5)</f>
        <v>46312</v>
      </c>
      <c r="T6" s="142" t="n">
        <f>IF(T$5="","",T$5)</f>
        <v>46313</v>
      </c>
      <c r="U6" s="142" t="n">
        <f>IF(U$5="","",U$5)</f>
        <v>46314</v>
      </c>
      <c r="V6" s="142" t="n">
        <f>IF(V$5="","",V$5)</f>
        <v>46315</v>
      </c>
      <c r="W6" s="142" t="n">
        <f>IF(W$5="","",W$5)</f>
        <v>46316</v>
      </c>
      <c r="X6" s="142" t="n">
        <f>IF(X$5="","",X$5)</f>
        <v>46317</v>
      </c>
      <c r="Y6" s="142" t="n">
        <f>IF(Y$5="","",Y$5)</f>
        <v>46318</v>
      </c>
      <c r="Z6" s="142" t="n">
        <f>IF(Z$5="","",Z$5)</f>
        <v>46319</v>
      </c>
      <c r="AA6" s="142" t="n">
        <f>IF(AA$5="","",AA$5)</f>
        <v>46320</v>
      </c>
      <c r="AB6" s="142" t="n">
        <f>IF(AB$5="","",AB$5)</f>
        <v>46321</v>
      </c>
      <c r="AC6" s="142" t="n">
        <f>IF(AC$5="","",AC$5)</f>
        <v>46322</v>
      </c>
      <c r="AD6" s="142" t="n">
        <f>IF(AD$5="","",AD$5)</f>
        <v>46323</v>
      </c>
      <c r="AE6" s="142" t="n">
        <f>IF(AE$5="","",AE$5)</f>
        <v>46324</v>
      </c>
      <c r="AF6" s="142" t="n">
        <f>IF(AF$5="","",AF$5)</f>
        <v>46325</v>
      </c>
      <c r="AG6" s="142" t="n">
        <f>IF(AG$5="","",AG$5)</f>
        <v>46326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46296</v>
      </c>
      <c r="D19" s="142" t="n">
        <f>IF(D$5="","",D$5)</f>
        <v>46297</v>
      </c>
      <c r="E19" s="142" t="n">
        <f>IF(E$5="","",E$5)</f>
        <v>46298</v>
      </c>
      <c r="F19" s="142" t="n">
        <f>IF(F$5="","",F$5)</f>
        <v>46299</v>
      </c>
      <c r="G19" s="142" t="n">
        <f>IF(G$5="","",G$5)</f>
        <v>46300</v>
      </c>
      <c r="H19" s="142" t="n">
        <f>IF(H$5="","",H$5)</f>
        <v>46301</v>
      </c>
      <c r="I19" s="142" t="n">
        <f>IF(I$5="","",I$5)</f>
        <v>46302</v>
      </c>
      <c r="J19" s="142" t="n">
        <f>IF(J$5="","",J$5)</f>
        <v>46303</v>
      </c>
      <c r="K19" s="142" t="n">
        <f>IF(K$5="","",K$5)</f>
        <v>46304</v>
      </c>
      <c r="L19" s="142" t="n">
        <f>IF(L$5="","",L$5)</f>
        <v>46305</v>
      </c>
      <c r="M19" s="142" t="n">
        <f>IF(M$5="","",M$5)</f>
        <v>46306</v>
      </c>
      <c r="N19" s="142" t="n">
        <f>IF(N$5="","",N$5)</f>
        <v>46307</v>
      </c>
      <c r="O19" s="142" t="n">
        <f>IF(O$5="","",O$5)</f>
        <v>46308</v>
      </c>
      <c r="P19" s="142" t="n">
        <f>IF(P$5="","",P$5)</f>
        <v>46309</v>
      </c>
      <c r="Q19" s="142" t="n">
        <f>IF(Q$5="","",Q$5)</f>
        <v>46310</v>
      </c>
      <c r="R19" s="142" t="n">
        <f>IF(R$5="","",R$5)</f>
        <v>46311</v>
      </c>
      <c r="S19" s="142" t="n">
        <f>IF(S$5="","",S$5)</f>
        <v>46312</v>
      </c>
      <c r="T19" s="142" t="n">
        <f>IF(T$5="","",T$5)</f>
        <v>46313</v>
      </c>
      <c r="U19" s="142" t="n">
        <f>IF(U$5="","",U$5)</f>
        <v>46314</v>
      </c>
      <c r="V19" s="142" t="n">
        <f>IF(V$5="","",V$5)</f>
        <v>46315</v>
      </c>
      <c r="W19" s="142" t="n">
        <f>IF(W$5="","",W$5)</f>
        <v>46316</v>
      </c>
      <c r="X19" s="142" t="n">
        <f>IF(X$5="","",X$5)</f>
        <v>46317</v>
      </c>
      <c r="Y19" s="142" t="n">
        <f>IF(Y$5="","",Y$5)</f>
        <v>46318</v>
      </c>
      <c r="Z19" s="142" t="n">
        <f>IF(Z$5="","",Z$5)</f>
        <v>46319</v>
      </c>
      <c r="AA19" s="142" t="n">
        <f>IF(AA$5="","",AA$5)</f>
        <v>46320</v>
      </c>
      <c r="AB19" s="142" t="n">
        <f>IF(AB$5="","",AB$5)</f>
        <v>46321</v>
      </c>
      <c r="AC19" s="142" t="n">
        <f>IF(AC$5="","",AC$5)</f>
        <v>46322</v>
      </c>
      <c r="AD19" s="142" t="n">
        <f>IF(AD$5="","",AD$5)</f>
        <v>46323</v>
      </c>
      <c r="AE19" s="142" t="n">
        <f>IF(AE$5="","",AE$5)</f>
        <v>46324</v>
      </c>
      <c r="AF19" s="142" t="n">
        <f>IF(AF$5="","",AF$5)</f>
        <v>46325</v>
      </c>
      <c r="AG19" s="142" t="n">
        <f>IF(AG$5="","",AG$5)</f>
        <v>46326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46296</v>
      </c>
      <c r="D30" s="48" t="n">
        <f>IF(D$5="","",D$5)</f>
        <v>46297</v>
      </c>
      <c r="E30" s="48" t="n">
        <f>IF(E$5="","",E$5)</f>
        <v>46298</v>
      </c>
      <c r="F30" s="48" t="n">
        <f>IF(F$5="","",F$5)</f>
        <v>46299</v>
      </c>
      <c r="G30" s="48" t="n">
        <f>IF(G$5="","",G$5)</f>
        <v>46300</v>
      </c>
      <c r="H30" s="48" t="n">
        <f>IF(H$5="","",H$5)</f>
        <v>46301</v>
      </c>
      <c r="I30" s="48" t="n">
        <f>IF(I$5="","",I$5)</f>
        <v>46302</v>
      </c>
      <c r="J30" s="48" t="n">
        <f>IF(J$5="","",J$5)</f>
        <v>46303</v>
      </c>
      <c r="K30" s="48" t="n">
        <f>IF(K$5="","",K$5)</f>
        <v>46304</v>
      </c>
      <c r="L30" s="48" t="n">
        <f>IF(L$5="","",L$5)</f>
        <v>46305</v>
      </c>
      <c r="M30" s="48" t="n">
        <f>IF(M$5="","",M$5)</f>
        <v>46306</v>
      </c>
      <c r="N30" s="48" t="n">
        <f>IF(N$5="","",N$5)</f>
        <v>46307</v>
      </c>
      <c r="O30" s="48" t="n">
        <f>IF(O$5="","",O$5)</f>
        <v>46308</v>
      </c>
      <c r="P30" s="48" t="n">
        <f>IF(P$5="","",P$5)</f>
        <v>46309</v>
      </c>
      <c r="Q30" s="48" t="n">
        <f>IF(Q$5="","",Q$5)</f>
        <v>46310</v>
      </c>
      <c r="R30" s="48" t="n">
        <f>IF(R$5="","",R$5)</f>
        <v>46311</v>
      </c>
      <c r="S30" s="48" t="n">
        <f>IF(S$5="","",S$5)</f>
        <v>46312</v>
      </c>
      <c r="T30" s="48" t="n">
        <f>IF(T$5="","",T$5)</f>
        <v>46313</v>
      </c>
      <c r="U30" s="48" t="n">
        <f>IF(U$5="","",U$5)</f>
        <v>46314</v>
      </c>
      <c r="V30" s="48" t="n">
        <f>IF(V$5="","",V$5)</f>
        <v>46315</v>
      </c>
      <c r="W30" s="48" t="n">
        <f>IF(W$5="","",W$5)</f>
        <v>46316</v>
      </c>
      <c r="X30" s="48" t="n">
        <f>IF(X$5="","",X$5)</f>
        <v>46317</v>
      </c>
      <c r="Y30" s="48" t="n">
        <f>IF(Y$5="","",Y$5)</f>
        <v>46318</v>
      </c>
      <c r="Z30" s="48" t="n">
        <f>IF(Z$5="","",Z$5)</f>
        <v>46319</v>
      </c>
      <c r="AA30" s="48" t="n">
        <f>IF(AA$5="","",AA$5)</f>
        <v>46320</v>
      </c>
      <c r="AB30" s="48" t="n">
        <f>IF(AB$5="","",AB$5)</f>
        <v>46321</v>
      </c>
      <c r="AC30" s="48" t="n">
        <f>IF(AC$5="","",AC$5)</f>
        <v>46322</v>
      </c>
      <c r="AD30" s="48" t="n">
        <f>IF(AD$5="","",AD$5)</f>
        <v>46323</v>
      </c>
      <c r="AE30" s="48" t="n">
        <f>IF(AE$5="","",AE$5)</f>
        <v>46324</v>
      </c>
      <c r="AF30" s="48" t="n">
        <f>IF(AF$5="","",AF$5)</f>
        <v>46325</v>
      </c>
      <c r="AG30" s="48" t="n">
        <f>IF(AG$5="","",AG$5)</f>
        <v>46326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46296</v>
      </c>
      <c r="D31" s="142" t="n">
        <f>IF(D$5="","",D$5)</f>
        <v>46297</v>
      </c>
      <c r="E31" s="142" t="n">
        <f>IF(E$5="","",E$5)</f>
        <v>46298</v>
      </c>
      <c r="F31" s="142" t="n">
        <f>IF(F$5="","",F$5)</f>
        <v>46299</v>
      </c>
      <c r="G31" s="142" t="n">
        <f>IF(G$5="","",G$5)</f>
        <v>46300</v>
      </c>
      <c r="H31" s="142" t="n">
        <f>IF(H$5="","",H$5)</f>
        <v>46301</v>
      </c>
      <c r="I31" s="142" t="n">
        <f>IF(I$5="","",I$5)</f>
        <v>46302</v>
      </c>
      <c r="J31" s="142" t="n">
        <f>IF(J$5="","",J$5)</f>
        <v>46303</v>
      </c>
      <c r="K31" s="142" t="n">
        <f>IF(K$5="","",K$5)</f>
        <v>46304</v>
      </c>
      <c r="L31" s="142" t="n">
        <f>IF(L$5="","",L$5)</f>
        <v>46305</v>
      </c>
      <c r="M31" s="142" t="n">
        <f>IF(M$5="","",M$5)</f>
        <v>46306</v>
      </c>
      <c r="N31" s="142" t="n">
        <f>IF(N$5="","",N$5)</f>
        <v>46307</v>
      </c>
      <c r="O31" s="142" t="n">
        <f>IF(O$5="","",O$5)</f>
        <v>46308</v>
      </c>
      <c r="P31" s="142" t="n">
        <f>IF(P$5="","",P$5)</f>
        <v>46309</v>
      </c>
      <c r="Q31" s="142" t="n">
        <f>IF(Q$5="","",Q$5)</f>
        <v>46310</v>
      </c>
      <c r="R31" s="142" t="n">
        <f>IF(R$5="","",R$5)</f>
        <v>46311</v>
      </c>
      <c r="S31" s="142" t="n">
        <f>IF(S$5="","",S$5)</f>
        <v>46312</v>
      </c>
      <c r="T31" s="142" t="n">
        <f>IF(T$5="","",T$5)</f>
        <v>46313</v>
      </c>
      <c r="U31" s="142" t="n">
        <f>IF(U$5="","",U$5)</f>
        <v>46314</v>
      </c>
      <c r="V31" s="142" t="n">
        <f>IF(V$5="","",V$5)</f>
        <v>46315</v>
      </c>
      <c r="W31" s="142" t="n">
        <f>IF(W$5="","",W$5)</f>
        <v>46316</v>
      </c>
      <c r="X31" s="142" t="n">
        <f>IF(X$5="","",X$5)</f>
        <v>46317</v>
      </c>
      <c r="Y31" s="142" t="n">
        <f>IF(Y$5="","",Y$5)</f>
        <v>46318</v>
      </c>
      <c r="Z31" s="142" t="n">
        <f>IF(Z$5="","",Z$5)</f>
        <v>46319</v>
      </c>
      <c r="AA31" s="142" t="n">
        <f>IF(AA$5="","",AA$5)</f>
        <v>46320</v>
      </c>
      <c r="AB31" s="142" t="n">
        <f>IF(AB$5="","",AB$5)</f>
        <v>46321</v>
      </c>
      <c r="AC31" s="142" t="n">
        <f>IF(AC$5="","",AC$5)</f>
        <v>46322</v>
      </c>
      <c r="AD31" s="142" t="n">
        <f>IF(AD$5="","",AD$5)</f>
        <v>46323</v>
      </c>
      <c r="AE31" s="142" t="n">
        <f>IF(AE$5="","",AE$5)</f>
        <v>46324</v>
      </c>
      <c r="AF31" s="142" t="n">
        <f>IF(AF$5="","",AF$5)</f>
        <v>46325</v>
      </c>
      <c r="AG31" s="142" t="n">
        <f>IF(AG$5="","",AG$5)</f>
        <v>46326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summary'!$C$4,10,1),DATE('Billable summary'!$C$4,11,0))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60" priority="1">
      <formula>OR(C$5="",WEEKDAY(C$5,2)&gt;5)</formula>
    </cfRule>
    <cfRule type="expression" dxfId="161" priority="2">
      <formula>AND(C$5="",NOT(ISBLANK(C7)))</formula>
    </cfRule>
  </conditionalFormatting>
  <conditionalFormatting sqref="C20:AG25">
    <cfRule type="expression" dxfId="162" priority="3">
      <formula>OR(C$5="",WEEKDAY(C$5,2)&gt;5)</formula>
    </cfRule>
    <cfRule type="expression" dxfId="163" priority="4">
      <formula>AND(C$5="",NOT(ISBLANK(C20)))</formula>
    </cfRule>
  </conditionalFormatting>
  <conditionalFormatting sqref="C32:AG35">
    <cfRule type="expression" dxfId="164" priority="5">
      <formula>OR(C$5="",WEEKDAY(C$5,2)&gt;5)</formula>
    </cfRule>
    <cfRule type="expression" dxfId="165" priority="6">
      <formula>AND(C$5="",NOT(ISBLANK(C32)))</formula>
    </cfRule>
  </conditionalFormatting>
  <conditionalFormatting sqref="I43:K43">
    <cfRule type="expression" dxfId="166" priority="7">
      <formula>AND(ISNUMBER($I$43),$I$43&gt;=$I$44)</formula>
    </cfRule>
    <cfRule type="expression" dxfId="167" priority="8">
      <formula>AND(ISNUMBER($I$43),$I$43&lt;$I$44)</formula>
    </cfRule>
  </conditionalFormatting>
  <conditionalFormatting sqref="B51:AH51">
    <cfRule type="containsText" dxfId="168" priority="9" operator="containsText" text="Check"/>
    <cfRule type="containsText" dxfId="169" priority="10" operator="containsText" text="Invalid"/>
    <cfRule type="containsText" dxfId="170" priority="11" operator="containsText" text="Negative"/>
    <cfRule type="containsText" dxfId="17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summary'!$C$4,11,1),"mmmm yyyy")</f>
        <v>November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summary'!$C$4,12,0)),DATE('Billable summary'!$C$4,11,1),"")</f>
        <v>46327</v>
      </c>
      <c r="D5" s="48" t="n">
        <f>IF(2&lt;=DAY(DATE('Billable summary'!$C$4,12,0)),DATE('Billable summary'!$C$4,11,2),"")</f>
        <v>46328</v>
      </c>
      <c r="E5" s="48" t="n">
        <f>IF(3&lt;=DAY(DATE('Billable summary'!$C$4,12,0)),DATE('Billable summary'!$C$4,11,3),"")</f>
        <v>46329</v>
      </c>
      <c r="F5" s="48" t="n">
        <f>IF(4&lt;=DAY(DATE('Billable summary'!$C$4,12,0)),DATE('Billable summary'!$C$4,11,4),"")</f>
        <v>46330</v>
      </c>
      <c r="G5" s="48" t="n">
        <f>IF(5&lt;=DAY(DATE('Billable summary'!$C$4,12,0)),DATE('Billable summary'!$C$4,11,5),"")</f>
        <v>46331</v>
      </c>
      <c r="H5" s="48" t="n">
        <f>IF(6&lt;=DAY(DATE('Billable summary'!$C$4,12,0)),DATE('Billable summary'!$C$4,11,6),"")</f>
        <v>46332</v>
      </c>
      <c r="I5" s="48" t="n">
        <f>IF(7&lt;=DAY(DATE('Billable summary'!$C$4,12,0)),DATE('Billable summary'!$C$4,11,7),"")</f>
        <v>46333</v>
      </c>
      <c r="J5" s="48" t="n">
        <f>IF(8&lt;=DAY(DATE('Billable summary'!$C$4,12,0)),DATE('Billable summary'!$C$4,11,8),"")</f>
        <v>46334</v>
      </c>
      <c r="K5" s="48" t="n">
        <f>IF(9&lt;=DAY(DATE('Billable summary'!$C$4,12,0)),DATE('Billable summary'!$C$4,11,9),"")</f>
        <v>46335</v>
      </c>
      <c r="L5" s="48" t="n">
        <f>IF(10&lt;=DAY(DATE('Billable summary'!$C$4,12,0)),DATE('Billable summary'!$C$4,11,10),"")</f>
        <v>46336</v>
      </c>
      <c r="M5" s="48" t="n">
        <f>IF(11&lt;=DAY(DATE('Billable summary'!$C$4,12,0)),DATE('Billable summary'!$C$4,11,11),"")</f>
        <v>46337</v>
      </c>
      <c r="N5" s="48" t="n">
        <f>IF(12&lt;=DAY(DATE('Billable summary'!$C$4,12,0)),DATE('Billable summary'!$C$4,11,12),"")</f>
        <v>46338</v>
      </c>
      <c r="O5" s="48" t="n">
        <f>IF(13&lt;=DAY(DATE('Billable summary'!$C$4,12,0)),DATE('Billable summary'!$C$4,11,13),"")</f>
        <v>46339</v>
      </c>
      <c r="P5" s="48" t="n">
        <f>IF(14&lt;=DAY(DATE('Billable summary'!$C$4,12,0)),DATE('Billable summary'!$C$4,11,14),"")</f>
        <v>46340</v>
      </c>
      <c r="Q5" s="48" t="n">
        <f>IF(15&lt;=DAY(DATE('Billable summary'!$C$4,12,0)),DATE('Billable summary'!$C$4,11,15),"")</f>
        <v>46341</v>
      </c>
      <c r="R5" s="48" t="n">
        <f>IF(16&lt;=DAY(DATE('Billable summary'!$C$4,12,0)),DATE('Billable summary'!$C$4,11,16),"")</f>
        <v>46342</v>
      </c>
      <c r="S5" s="48" t="n">
        <f>IF(17&lt;=DAY(DATE('Billable summary'!$C$4,12,0)),DATE('Billable summary'!$C$4,11,17),"")</f>
        <v>46343</v>
      </c>
      <c r="T5" s="48" t="n">
        <f>IF(18&lt;=DAY(DATE('Billable summary'!$C$4,12,0)),DATE('Billable summary'!$C$4,11,18),"")</f>
        <v>46344</v>
      </c>
      <c r="U5" s="48" t="n">
        <f>IF(19&lt;=DAY(DATE('Billable summary'!$C$4,12,0)),DATE('Billable summary'!$C$4,11,19),"")</f>
        <v>46345</v>
      </c>
      <c r="V5" s="48" t="n">
        <f>IF(20&lt;=DAY(DATE('Billable summary'!$C$4,12,0)),DATE('Billable summary'!$C$4,11,20),"")</f>
        <v>46346</v>
      </c>
      <c r="W5" s="48" t="n">
        <f>IF(21&lt;=DAY(DATE('Billable summary'!$C$4,12,0)),DATE('Billable summary'!$C$4,11,21),"")</f>
        <v>46347</v>
      </c>
      <c r="X5" s="48" t="n">
        <f>IF(22&lt;=DAY(DATE('Billable summary'!$C$4,12,0)),DATE('Billable summary'!$C$4,11,22),"")</f>
        <v>46348</v>
      </c>
      <c r="Y5" s="48" t="n">
        <f>IF(23&lt;=DAY(DATE('Billable summary'!$C$4,12,0)),DATE('Billable summary'!$C$4,11,23),"")</f>
        <v>46349</v>
      </c>
      <c r="Z5" s="48" t="n">
        <f>IF(24&lt;=DAY(DATE('Billable summary'!$C$4,12,0)),DATE('Billable summary'!$C$4,11,24),"")</f>
        <v>46350</v>
      </c>
      <c r="AA5" s="48" t="n">
        <f>IF(25&lt;=DAY(DATE('Billable summary'!$C$4,12,0)),DATE('Billable summary'!$C$4,11,25),"")</f>
        <v>46351</v>
      </c>
      <c r="AB5" s="48" t="n">
        <f>IF(26&lt;=DAY(DATE('Billable summary'!$C$4,12,0)),DATE('Billable summary'!$C$4,11,26),"")</f>
        <v>46352</v>
      </c>
      <c r="AC5" s="48" t="n">
        <f>IF(27&lt;=DAY(DATE('Billable summary'!$C$4,12,0)),DATE('Billable summary'!$C$4,11,27),"")</f>
        <v>46353</v>
      </c>
      <c r="AD5" s="48" t="n">
        <f>IF(28&lt;=DAY(DATE('Billable summary'!$C$4,12,0)),DATE('Billable summary'!$C$4,11,28),"")</f>
        <v>46354</v>
      </c>
      <c r="AE5" s="48" t="n">
        <f>IF(29&lt;=DAY(DATE('Billable summary'!$C$4,12,0)),DATE('Billable summary'!$C$4,11,29),"")</f>
        <v>46355</v>
      </c>
      <c r="AF5" s="48" t="n">
        <f>IF(30&lt;=DAY(DATE('Billable summary'!$C$4,12,0)),DATE('Billable summary'!$C$4,11,30),"")</f>
        <v>46356</v>
      </c>
      <c r="AG5" s="48" t="str">
        <f>IF(31&lt;=DAY(DATE('Billable summary'!$C$4,12,0)),DATE('Billable summary'!$C$4,11,31),"")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46327</v>
      </c>
      <c r="D6" s="142" t="n">
        <f>IF(D$5="","",D$5)</f>
        <v>46328</v>
      </c>
      <c r="E6" s="142" t="n">
        <f>IF(E$5="","",E$5)</f>
        <v>46329</v>
      </c>
      <c r="F6" s="142" t="n">
        <f>IF(F$5="","",F$5)</f>
        <v>46330</v>
      </c>
      <c r="G6" s="142" t="n">
        <f>IF(G$5="","",G$5)</f>
        <v>46331</v>
      </c>
      <c r="H6" s="142" t="n">
        <f>IF(H$5="","",H$5)</f>
        <v>46332</v>
      </c>
      <c r="I6" s="142" t="n">
        <f>IF(I$5="","",I$5)</f>
        <v>46333</v>
      </c>
      <c r="J6" s="142" t="n">
        <f>IF(J$5="","",J$5)</f>
        <v>46334</v>
      </c>
      <c r="K6" s="142" t="n">
        <f>IF(K$5="","",K$5)</f>
        <v>46335</v>
      </c>
      <c r="L6" s="142" t="n">
        <f>IF(L$5="","",L$5)</f>
        <v>46336</v>
      </c>
      <c r="M6" s="142" t="n">
        <f>IF(M$5="","",M$5)</f>
        <v>46337</v>
      </c>
      <c r="N6" s="142" t="n">
        <f>IF(N$5="","",N$5)</f>
        <v>46338</v>
      </c>
      <c r="O6" s="142" t="n">
        <f>IF(O$5="","",O$5)</f>
        <v>46339</v>
      </c>
      <c r="P6" s="142" t="n">
        <f>IF(P$5="","",P$5)</f>
        <v>46340</v>
      </c>
      <c r="Q6" s="142" t="n">
        <f>IF(Q$5="","",Q$5)</f>
        <v>46341</v>
      </c>
      <c r="R6" s="142" t="n">
        <f>IF(R$5="","",R$5)</f>
        <v>46342</v>
      </c>
      <c r="S6" s="142" t="n">
        <f>IF(S$5="","",S$5)</f>
        <v>46343</v>
      </c>
      <c r="T6" s="142" t="n">
        <f>IF(T$5="","",T$5)</f>
        <v>46344</v>
      </c>
      <c r="U6" s="142" t="n">
        <f>IF(U$5="","",U$5)</f>
        <v>46345</v>
      </c>
      <c r="V6" s="142" t="n">
        <f>IF(V$5="","",V$5)</f>
        <v>46346</v>
      </c>
      <c r="W6" s="142" t="n">
        <f>IF(W$5="","",W$5)</f>
        <v>46347</v>
      </c>
      <c r="X6" s="142" t="n">
        <f>IF(X$5="","",X$5)</f>
        <v>46348</v>
      </c>
      <c r="Y6" s="142" t="n">
        <f>IF(Y$5="","",Y$5)</f>
        <v>46349</v>
      </c>
      <c r="Z6" s="142" t="n">
        <f>IF(Z$5="","",Z$5)</f>
        <v>46350</v>
      </c>
      <c r="AA6" s="142" t="n">
        <f>IF(AA$5="","",AA$5)</f>
        <v>46351</v>
      </c>
      <c r="AB6" s="142" t="n">
        <f>IF(AB$5="","",AB$5)</f>
        <v>46352</v>
      </c>
      <c r="AC6" s="142" t="n">
        <f>IF(AC$5="","",AC$5)</f>
        <v>46353</v>
      </c>
      <c r="AD6" s="142" t="n">
        <f>IF(AD$5="","",AD$5)</f>
        <v>46354</v>
      </c>
      <c r="AE6" s="142" t="n">
        <f>IF(AE$5="","",AE$5)</f>
        <v>46355</v>
      </c>
      <c r="AF6" s="142" t="n">
        <f>IF(AF$5="","",AF$5)</f>
        <v>46356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46327</v>
      </c>
      <c r="D19" s="142" t="n">
        <f>IF(D$5="","",D$5)</f>
        <v>46328</v>
      </c>
      <c r="E19" s="142" t="n">
        <f>IF(E$5="","",E$5)</f>
        <v>46329</v>
      </c>
      <c r="F19" s="142" t="n">
        <f>IF(F$5="","",F$5)</f>
        <v>46330</v>
      </c>
      <c r="G19" s="142" t="n">
        <f>IF(G$5="","",G$5)</f>
        <v>46331</v>
      </c>
      <c r="H19" s="142" t="n">
        <f>IF(H$5="","",H$5)</f>
        <v>46332</v>
      </c>
      <c r="I19" s="142" t="n">
        <f>IF(I$5="","",I$5)</f>
        <v>46333</v>
      </c>
      <c r="J19" s="142" t="n">
        <f>IF(J$5="","",J$5)</f>
        <v>46334</v>
      </c>
      <c r="K19" s="142" t="n">
        <f>IF(K$5="","",K$5)</f>
        <v>46335</v>
      </c>
      <c r="L19" s="142" t="n">
        <f>IF(L$5="","",L$5)</f>
        <v>46336</v>
      </c>
      <c r="M19" s="142" t="n">
        <f>IF(M$5="","",M$5)</f>
        <v>46337</v>
      </c>
      <c r="N19" s="142" t="n">
        <f>IF(N$5="","",N$5)</f>
        <v>46338</v>
      </c>
      <c r="O19" s="142" t="n">
        <f>IF(O$5="","",O$5)</f>
        <v>46339</v>
      </c>
      <c r="P19" s="142" t="n">
        <f>IF(P$5="","",P$5)</f>
        <v>46340</v>
      </c>
      <c r="Q19" s="142" t="n">
        <f>IF(Q$5="","",Q$5)</f>
        <v>46341</v>
      </c>
      <c r="R19" s="142" t="n">
        <f>IF(R$5="","",R$5)</f>
        <v>46342</v>
      </c>
      <c r="S19" s="142" t="n">
        <f>IF(S$5="","",S$5)</f>
        <v>46343</v>
      </c>
      <c r="T19" s="142" t="n">
        <f>IF(T$5="","",T$5)</f>
        <v>46344</v>
      </c>
      <c r="U19" s="142" t="n">
        <f>IF(U$5="","",U$5)</f>
        <v>46345</v>
      </c>
      <c r="V19" s="142" t="n">
        <f>IF(V$5="","",V$5)</f>
        <v>46346</v>
      </c>
      <c r="W19" s="142" t="n">
        <f>IF(W$5="","",W$5)</f>
        <v>46347</v>
      </c>
      <c r="X19" s="142" t="n">
        <f>IF(X$5="","",X$5)</f>
        <v>46348</v>
      </c>
      <c r="Y19" s="142" t="n">
        <f>IF(Y$5="","",Y$5)</f>
        <v>46349</v>
      </c>
      <c r="Z19" s="142" t="n">
        <f>IF(Z$5="","",Z$5)</f>
        <v>46350</v>
      </c>
      <c r="AA19" s="142" t="n">
        <f>IF(AA$5="","",AA$5)</f>
        <v>46351</v>
      </c>
      <c r="AB19" s="142" t="n">
        <f>IF(AB$5="","",AB$5)</f>
        <v>46352</v>
      </c>
      <c r="AC19" s="142" t="n">
        <f>IF(AC$5="","",AC$5)</f>
        <v>46353</v>
      </c>
      <c r="AD19" s="142" t="n">
        <f>IF(AD$5="","",AD$5)</f>
        <v>46354</v>
      </c>
      <c r="AE19" s="142" t="n">
        <f>IF(AE$5="","",AE$5)</f>
        <v>46355</v>
      </c>
      <c r="AF19" s="142" t="n">
        <f>IF(AF$5="","",AF$5)</f>
        <v>46356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46327</v>
      </c>
      <c r="D30" s="48" t="n">
        <f>IF(D$5="","",D$5)</f>
        <v>46328</v>
      </c>
      <c r="E30" s="48" t="n">
        <f>IF(E$5="","",E$5)</f>
        <v>46329</v>
      </c>
      <c r="F30" s="48" t="n">
        <f>IF(F$5="","",F$5)</f>
        <v>46330</v>
      </c>
      <c r="G30" s="48" t="n">
        <f>IF(G$5="","",G$5)</f>
        <v>46331</v>
      </c>
      <c r="H30" s="48" t="n">
        <f>IF(H$5="","",H$5)</f>
        <v>46332</v>
      </c>
      <c r="I30" s="48" t="n">
        <f>IF(I$5="","",I$5)</f>
        <v>46333</v>
      </c>
      <c r="J30" s="48" t="n">
        <f>IF(J$5="","",J$5)</f>
        <v>46334</v>
      </c>
      <c r="K30" s="48" t="n">
        <f>IF(K$5="","",K$5)</f>
        <v>46335</v>
      </c>
      <c r="L30" s="48" t="n">
        <f>IF(L$5="","",L$5)</f>
        <v>46336</v>
      </c>
      <c r="M30" s="48" t="n">
        <f>IF(M$5="","",M$5)</f>
        <v>46337</v>
      </c>
      <c r="N30" s="48" t="n">
        <f>IF(N$5="","",N$5)</f>
        <v>46338</v>
      </c>
      <c r="O30" s="48" t="n">
        <f>IF(O$5="","",O$5)</f>
        <v>46339</v>
      </c>
      <c r="P30" s="48" t="n">
        <f>IF(P$5="","",P$5)</f>
        <v>46340</v>
      </c>
      <c r="Q30" s="48" t="n">
        <f>IF(Q$5="","",Q$5)</f>
        <v>46341</v>
      </c>
      <c r="R30" s="48" t="n">
        <f>IF(R$5="","",R$5)</f>
        <v>46342</v>
      </c>
      <c r="S30" s="48" t="n">
        <f>IF(S$5="","",S$5)</f>
        <v>46343</v>
      </c>
      <c r="T30" s="48" t="n">
        <f>IF(T$5="","",T$5)</f>
        <v>46344</v>
      </c>
      <c r="U30" s="48" t="n">
        <f>IF(U$5="","",U$5)</f>
        <v>46345</v>
      </c>
      <c r="V30" s="48" t="n">
        <f>IF(V$5="","",V$5)</f>
        <v>46346</v>
      </c>
      <c r="W30" s="48" t="n">
        <f>IF(W$5="","",W$5)</f>
        <v>46347</v>
      </c>
      <c r="X30" s="48" t="n">
        <f>IF(X$5="","",X$5)</f>
        <v>46348</v>
      </c>
      <c r="Y30" s="48" t="n">
        <f>IF(Y$5="","",Y$5)</f>
        <v>46349</v>
      </c>
      <c r="Z30" s="48" t="n">
        <f>IF(Z$5="","",Z$5)</f>
        <v>46350</v>
      </c>
      <c r="AA30" s="48" t="n">
        <f>IF(AA$5="","",AA$5)</f>
        <v>46351</v>
      </c>
      <c r="AB30" s="48" t="n">
        <f>IF(AB$5="","",AB$5)</f>
        <v>46352</v>
      </c>
      <c r="AC30" s="48" t="n">
        <f>IF(AC$5="","",AC$5)</f>
        <v>46353</v>
      </c>
      <c r="AD30" s="48" t="n">
        <f>IF(AD$5="","",AD$5)</f>
        <v>46354</v>
      </c>
      <c r="AE30" s="48" t="n">
        <f>IF(AE$5="","",AE$5)</f>
        <v>46355</v>
      </c>
      <c r="AF30" s="48" t="n">
        <f>IF(AF$5="","",AF$5)</f>
        <v>46356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46327</v>
      </c>
      <c r="D31" s="142" t="n">
        <f>IF(D$5="","",D$5)</f>
        <v>46328</v>
      </c>
      <c r="E31" s="142" t="n">
        <f>IF(E$5="","",E$5)</f>
        <v>46329</v>
      </c>
      <c r="F31" s="142" t="n">
        <f>IF(F$5="","",F$5)</f>
        <v>46330</v>
      </c>
      <c r="G31" s="142" t="n">
        <f>IF(G$5="","",G$5)</f>
        <v>46331</v>
      </c>
      <c r="H31" s="142" t="n">
        <f>IF(H$5="","",H$5)</f>
        <v>46332</v>
      </c>
      <c r="I31" s="142" t="n">
        <f>IF(I$5="","",I$5)</f>
        <v>46333</v>
      </c>
      <c r="J31" s="142" t="n">
        <f>IF(J$5="","",J$5)</f>
        <v>46334</v>
      </c>
      <c r="K31" s="142" t="n">
        <f>IF(K$5="","",K$5)</f>
        <v>46335</v>
      </c>
      <c r="L31" s="142" t="n">
        <f>IF(L$5="","",L$5)</f>
        <v>46336</v>
      </c>
      <c r="M31" s="142" t="n">
        <f>IF(M$5="","",M$5)</f>
        <v>46337</v>
      </c>
      <c r="N31" s="142" t="n">
        <f>IF(N$5="","",N$5)</f>
        <v>46338</v>
      </c>
      <c r="O31" s="142" t="n">
        <f>IF(O$5="","",O$5)</f>
        <v>46339</v>
      </c>
      <c r="P31" s="142" t="n">
        <f>IF(P$5="","",P$5)</f>
        <v>46340</v>
      </c>
      <c r="Q31" s="142" t="n">
        <f>IF(Q$5="","",Q$5)</f>
        <v>46341</v>
      </c>
      <c r="R31" s="142" t="n">
        <f>IF(R$5="","",R$5)</f>
        <v>46342</v>
      </c>
      <c r="S31" s="142" t="n">
        <f>IF(S$5="","",S$5)</f>
        <v>46343</v>
      </c>
      <c r="T31" s="142" t="n">
        <f>IF(T$5="","",T$5)</f>
        <v>46344</v>
      </c>
      <c r="U31" s="142" t="n">
        <f>IF(U$5="","",U$5)</f>
        <v>46345</v>
      </c>
      <c r="V31" s="142" t="n">
        <f>IF(V$5="","",V$5)</f>
        <v>46346</v>
      </c>
      <c r="W31" s="142" t="n">
        <f>IF(W$5="","",W$5)</f>
        <v>46347</v>
      </c>
      <c r="X31" s="142" t="n">
        <f>IF(X$5="","",X$5)</f>
        <v>46348</v>
      </c>
      <c r="Y31" s="142" t="n">
        <f>IF(Y$5="","",Y$5)</f>
        <v>46349</v>
      </c>
      <c r="Z31" s="142" t="n">
        <f>IF(Z$5="","",Z$5)</f>
        <v>46350</v>
      </c>
      <c r="AA31" s="142" t="n">
        <f>IF(AA$5="","",AA$5)</f>
        <v>46351</v>
      </c>
      <c r="AB31" s="142" t="n">
        <f>IF(AB$5="","",AB$5)</f>
        <v>46352</v>
      </c>
      <c r="AC31" s="142" t="n">
        <f>IF(AC$5="","",AC$5)</f>
        <v>46353</v>
      </c>
      <c r="AD31" s="142" t="n">
        <f>IF(AD$5="","",AD$5)</f>
        <v>46354</v>
      </c>
      <c r="AE31" s="142" t="n">
        <f>IF(AE$5="","",AE$5)</f>
        <v>46355</v>
      </c>
      <c r="AF31" s="142" t="n">
        <f>IF(AF$5="","",AF$5)</f>
        <v>46356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summary'!$C$4,11,1),DATE('Billable summary'!$C$4,12,0))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72" priority="1">
      <formula>OR(C$5="",WEEKDAY(C$5,2)&gt;5)</formula>
    </cfRule>
    <cfRule type="expression" dxfId="173" priority="2">
      <formula>AND(C$5="",NOT(ISBLANK(C7)))</formula>
    </cfRule>
  </conditionalFormatting>
  <conditionalFormatting sqref="C20:AG25">
    <cfRule type="expression" dxfId="174" priority="3">
      <formula>OR(C$5="",WEEKDAY(C$5,2)&gt;5)</formula>
    </cfRule>
    <cfRule type="expression" dxfId="175" priority="4">
      <formula>AND(C$5="",NOT(ISBLANK(C20)))</formula>
    </cfRule>
  </conditionalFormatting>
  <conditionalFormatting sqref="C32:AG35">
    <cfRule type="expression" dxfId="176" priority="5">
      <formula>OR(C$5="",WEEKDAY(C$5,2)&gt;5)</formula>
    </cfRule>
    <cfRule type="expression" dxfId="177" priority="6">
      <formula>AND(C$5="",NOT(ISBLANK(C32)))</formula>
    </cfRule>
  </conditionalFormatting>
  <conditionalFormatting sqref="I43:K43">
    <cfRule type="expression" dxfId="178" priority="7">
      <formula>AND(ISNUMBER($I$43),$I$43&gt;=$I$44)</formula>
    </cfRule>
    <cfRule type="expression" dxfId="179" priority="8">
      <formula>AND(ISNUMBER($I$43),$I$43&lt;$I$44)</formula>
    </cfRule>
  </conditionalFormatting>
  <conditionalFormatting sqref="B51:AH51">
    <cfRule type="containsText" dxfId="180" priority="9" operator="containsText" text="Check"/>
    <cfRule type="containsText" dxfId="181" priority="10" operator="containsText" text="Invalid"/>
    <cfRule type="containsText" dxfId="182" priority="11" operator="containsText" text="Negative"/>
    <cfRule type="containsText" dxfId="18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summary'!$C$4,12,1),"mmmm yyyy")</f>
        <v>December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summary'!$C$4,13,0)),DATE('Billable summary'!$C$4,12,1),"")</f>
        <v>46357</v>
      </c>
      <c r="D5" s="48" t="n">
        <f>IF(2&lt;=DAY(DATE('Billable summary'!$C$4,13,0)),DATE('Billable summary'!$C$4,12,2),"")</f>
        <v>46358</v>
      </c>
      <c r="E5" s="48" t="n">
        <f>IF(3&lt;=DAY(DATE('Billable summary'!$C$4,13,0)),DATE('Billable summary'!$C$4,12,3),"")</f>
        <v>46359</v>
      </c>
      <c r="F5" s="48" t="n">
        <f>IF(4&lt;=DAY(DATE('Billable summary'!$C$4,13,0)),DATE('Billable summary'!$C$4,12,4),"")</f>
        <v>46360</v>
      </c>
      <c r="G5" s="48" t="n">
        <f>IF(5&lt;=DAY(DATE('Billable summary'!$C$4,13,0)),DATE('Billable summary'!$C$4,12,5),"")</f>
        <v>46361</v>
      </c>
      <c r="H5" s="48" t="n">
        <f>IF(6&lt;=DAY(DATE('Billable summary'!$C$4,13,0)),DATE('Billable summary'!$C$4,12,6),"")</f>
        <v>46362</v>
      </c>
      <c r="I5" s="48" t="n">
        <f>IF(7&lt;=DAY(DATE('Billable summary'!$C$4,13,0)),DATE('Billable summary'!$C$4,12,7),"")</f>
        <v>46363</v>
      </c>
      <c r="J5" s="48" t="n">
        <f>IF(8&lt;=DAY(DATE('Billable summary'!$C$4,13,0)),DATE('Billable summary'!$C$4,12,8),"")</f>
        <v>46364</v>
      </c>
      <c r="K5" s="48" t="n">
        <f>IF(9&lt;=DAY(DATE('Billable summary'!$C$4,13,0)),DATE('Billable summary'!$C$4,12,9),"")</f>
        <v>46365</v>
      </c>
      <c r="L5" s="48" t="n">
        <f>IF(10&lt;=DAY(DATE('Billable summary'!$C$4,13,0)),DATE('Billable summary'!$C$4,12,10),"")</f>
        <v>46366</v>
      </c>
      <c r="M5" s="48" t="n">
        <f>IF(11&lt;=DAY(DATE('Billable summary'!$C$4,13,0)),DATE('Billable summary'!$C$4,12,11),"")</f>
        <v>46367</v>
      </c>
      <c r="N5" s="48" t="n">
        <f>IF(12&lt;=DAY(DATE('Billable summary'!$C$4,13,0)),DATE('Billable summary'!$C$4,12,12),"")</f>
        <v>46368</v>
      </c>
      <c r="O5" s="48" t="n">
        <f>IF(13&lt;=DAY(DATE('Billable summary'!$C$4,13,0)),DATE('Billable summary'!$C$4,12,13),"")</f>
        <v>46369</v>
      </c>
      <c r="P5" s="48" t="n">
        <f>IF(14&lt;=DAY(DATE('Billable summary'!$C$4,13,0)),DATE('Billable summary'!$C$4,12,14),"")</f>
        <v>46370</v>
      </c>
      <c r="Q5" s="48" t="n">
        <f>IF(15&lt;=DAY(DATE('Billable summary'!$C$4,13,0)),DATE('Billable summary'!$C$4,12,15),"")</f>
        <v>46371</v>
      </c>
      <c r="R5" s="48" t="n">
        <f>IF(16&lt;=DAY(DATE('Billable summary'!$C$4,13,0)),DATE('Billable summary'!$C$4,12,16),"")</f>
        <v>46372</v>
      </c>
      <c r="S5" s="48" t="n">
        <f>IF(17&lt;=DAY(DATE('Billable summary'!$C$4,13,0)),DATE('Billable summary'!$C$4,12,17),"")</f>
        <v>46373</v>
      </c>
      <c r="T5" s="48" t="n">
        <f>IF(18&lt;=DAY(DATE('Billable summary'!$C$4,13,0)),DATE('Billable summary'!$C$4,12,18),"")</f>
        <v>46374</v>
      </c>
      <c r="U5" s="48" t="n">
        <f>IF(19&lt;=DAY(DATE('Billable summary'!$C$4,13,0)),DATE('Billable summary'!$C$4,12,19),"")</f>
        <v>46375</v>
      </c>
      <c r="V5" s="48" t="n">
        <f>IF(20&lt;=DAY(DATE('Billable summary'!$C$4,13,0)),DATE('Billable summary'!$C$4,12,20),"")</f>
        <v>46376</v>
      </c>
      <c r="W5" s="48" t="n">
        <f>IF(21&lt;=DAY(DATE('Billable summary'!$C$4,13,0)),DATE('Billable summary'!$C$4,12,21),"")</f>
        <v>46377</v>
      </c>
      <c r="X5" s="48" t="n">
        <f>IF(22&lt;=DAY(DATE('Billable summary'!$C$4,13,0)),DATE('Billable summary'!$C$4,12,22),"")</f>
        <v>46378</v>
      </c>
      <c r="Y5" s="48" t="n">
        <f>IF(23&lt;=DAY(DATE('Billable summary'!$C$4,13,0)),DATE('Billable summary'!$C$4,12,23),"")</f>
        <v>46379</v>
      </c>
      <c r="Z5" s="48" t="n">
        <f>IF(24&lt;=DAY(DATE('Billable summary'!$C$4,13,0)),DATE('Billable summary'!$C$4,12,24),"")</f>
        <v>46380</v>
      </c>
      <c r="AA5" s="48" t="n">
        <f>IF(25&lt;=DAY(DATE('Billable summary'!$C$4,13,0)),DATE('Billable summary'!$C$4,12,25),"")</f>
        <v>46381</v>
      </c>
      <c r="AB5" s="48" t="n">
        <f>IF(26&lt;=DAY(DATE('Billable summary'!$C$4,13,0)),DATE('Billable summary'!$C$4,12,26),"")</f>
        <v>46382</v>
      </c>
      <c r="AC5" s="48" t="n">
        <f>IF(27&lt;=DAY(DATE('Billable summary'!$C$4,13,0)),DATE('Billable summary'!$C$4,12,27),"")</f>
        <v>46383</v>
      </c>
      <c r="AD5" s="48" t="n">
        <f>IF(28&lt;=DAY(DATE('Billable summary'!$C$4,13,0)),DATE('Billable summary'!$C$4,12,28),"")</f>
        <v>46384</v>
      </c>
      <c r="AE5" s="48" t="n">
        <f>IF(29&lt;=DAY(DATE('Billable summary'!$C$4,13,0)),DATE('Billable summary'!$C$4,12,29),"")</f>
        <v>46385</v>
      </c>
      <c r="AF5" s="48" t="n">
        <f>IF(30&lt;=DAY(DATE('Billable summary'!$C$4,13,0)),DATE('Billable summary'!$C$4,12,30),"")</f>
        <v>46386</v>
      </c>
      <c r="AG5" s="48" t="n">
        <f>IF(31&lt;=DAY(DATE('Billable summary'!$C$4,13,0)),DATE('Billable summary'!$C$4,12,31),"")</f>
        <v>46387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46357</v>
      </c>
      <c r="D6" s="142" t="n">
        <f>IF(D$5="","",D$5)</f>
        <v>46358</v>
      </c>
      <c r="E6" s="142" t="n">
        <f>IF(E$5="","",E$5)</f>
        <v>46359</v>
      </c>
      <c r="F6" s="142" t="n">
        <f>IF(F$5="","",F$5)</f>
        <v>46360</v>
      </c>
      <c r="G6" s="142" t="n">
        <f>IF(G$5="","",G$5)</f>
        <v>46361</v>
      </c>
      <c r="H6" s="142" t="n">
        <f>IF(H$5="","",H$5)</f>
        <v>46362</v>
      </c>
      <c r="I6" s="142" t="n">
        <f>IF(I$5="","",I$5)</f>
        <v>46363</v>
      </c>
      <c r="J6" s="142" t="n">
        <f>IF(J$5="","",J$5)</f>
        <v>46364</v>
      </c>
      <c r="K6" s="142" t="n">
        <f>IF(K$5="","",K$5)</f>
        <v>46365</v>
      </c>
      <c r="L6" s="142" t="n">
        <f>IF(L$5="","",L$5)</f>
        <v>46366</v>
      </c>
      <c r="M6" s="142" t="n">
        <f>IF(M$5="","",M$5)</f>
        <v>46367</v>
      </c>
      <c r="N6" s="142" t="n">
        <f>IF(N$5="","",N$5)</f>
        <v>46368</v>
      </c>
      <c r="O6" s="142" t="n">
        <f>IF(O$5="","",O$5)</f>
        <v>46369</v>
      </c>
      <c r="P6" s="142" t="n">
        <f>IF(P$5="","",P$5)</f>
        <v>46370</v>
      </c>
      <c r="Q6" s="142" t="n">
        <f>IF(Q$5="","",Q$5)</f>
        <v>46371</v>
      </c>
      <c r="R6" s="142" t="n">
        <f>IF(R$5="","",R$5)</f>
        <v>46372</v>
      </c>
      <c r="S6" s="142" t="n">
        <f>IF(S$5="","",S$5)</f>
        <v>46373</v>
      </c>
      <c r="T6" s="142" t="n">
        <f>IF(T$5="","",T$5)</f>
        <v>46374</v>
      </c>
      <c r="U6" s="142" t="n">
        <f>IF(U$5="","",U$5)</f>
        <v>46375</v>
      </c>
      <c r="V6" s="142" t="n">
        <f>IF(V$5="","",V$5)</f>
        <v>46376</v>
      </c>
      <c r="W6" s="142" t="n">
        <f>IF(W$5="","",W$5)</f>
        <v>46377</v>
      </c>
      <c r="X6" s="142" t="n">
        <f>IF(X$5="","",X$5)</f>
        <v>46378</v>
      </c>
      <c r="Y6" s="142" t="n">
        <f>IF(Y$5="","",Y$5)</f>
        <v>46379</v>
      </c>
      <c r="Z6" s="142" t="n">
        <f>IF(Z$5="","",Z$5)</f>
        <v>46380</v>
      </c>
      <c r="AA6" s="142" t="n">
        <f>IF(AA$5="","",AA$5)</f>
        <v>46381</v>
      </c>
      <c r="AB6" s="142" t="n">
        <f>IF(AB$5="","",AB$5)</f>
        <v>46382</v>
      </c>
      <c r="AC6" s="142" t="n">
        <f>IF(AC$5="","",AC$5)</f>
        <v>46383</v>
      </c>
      <c r="AD6" s="142" t="n">
        <f>IF(AD$5="","",AD$5)</f>
        <v>46384</v>
      </c>
      <c r="AE6" s="142" t="n">
        <f>IF(AE$5="","",AE$5)</f>
        <v>46385</v>
      </c>
      <c r="AF6" s="142" t="n">
        <f>IF(AF$5="","",AF$5)</f>
        <v>46386</v>
      </c>
      <c r="AG6" s="142" t="n">
        <f>IF(AG$5="","",AG$5)</f>
        <v>46387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46357</v>
      </c>
      <c r="D19" s="142" t="n">
        <f>IF(D$5="","",D$5)</f>
        <v>46358</v>
      </c>
      <c r="E19" s="142" t="n">
        <f>IF(E$5="","",E$5)</f>
        <v>46359</v>
      </c>
      <c r="F19" s="142" t="n">
        <f>IF(F$5="","",F$5)</f>
        <v>46360</v>
      </c>
      <c r="G19" s="142" t="n">
        <f>IF(G$5="","",G$5)</f>
        <v>46361</v>
      </c>
      <c r="H19" s="142" t="n">
        <f>IF(H$5="","",H$5)</f>
        <v>46362</v>
      </c>
      <c r="I19" s="142" t="n">
        <f>IF(I$5="","",I$5)</f>
        <v>46363</v>
      </c>
      <c r="J19" s="142" t="n">
        <f>IF(J$5="","",J$5)</f>
        <v>46364</v>
      </c>
      <c r="K19" s="142" t="n">
        <f>IF(K$5="","",K$5)</f>
        <v>46365</v>
      </c>
      <c r="L19" s="142" t="n">
        <f>IF(L$5="","",L$5)</f>
        <v>46366</v>
      </c>
      <c r="M19" s="142" t="n">
        <f>IF(M$5="","",M$5)</f>
        <v>46367</v>
      </c>
      <c r="N19" s="142" t="n">
        <f>IF(N$5="","",N$5)</f>
        <v>46368</v>
      </c>
      <c r="O19" s="142" t="n">
        <f>IF(O$5="","",O$5)</f>
        <v>46369</v>
      </c>
      <c r="P19" s="142" t="n">
        <f>IF(P$5="","",P$5)</f>
        <v>46370</v>
      </c>
      <c r="Q19" s="142" t="n">
        <f>IF(Q$5="","",Q$5)</f>
        <v>46371</v>
      </c>
      <c r="R19" s="142" t="n">
        <f>IF(R$5="","",R$5)</f>
        <v>46372</v>
      </c>
      <c r="S19" s="142" t="n">
        <f>IF(S$5="","",S$5)</f>
        <v>46373</v>
      </c>
      <c r="T19" s="142" t="n">
        <f>IF(T$5="","",T$5)</f>
        <v>46374</v>
      </c>
      <c r="U19" s="142" t="n">
        <f>IF(U$5="","",U$5)</f>
        <v>46375</v>
      </c>
      <c r="V19" s="142" t="n">
        <f>IF(V$5="","",V$5)</f>
        <v>46376</v>
      </c>
      <c r="W19" s="142" t="n">
        <f>IF(W$5="","",W$5)</f>
        <v>46377</v>
      </c>
      <c r="X19" s="142" t="n">
        <f>IF(X$5="","",X$5)</f>
        <v>46378</v>
      </c>
      <c r="Y19" s="142" t="n">
        <f>IF(Y$5="","",Y$5)</f>
        <v>46379</v>
      </c>
      <c r="Z19" s="142" t="n">
        <f>IF(Z$5="","",Z$5)</f>
        <v>46380</v>
      </c>
      <c r="AA19" s="142" t="n">
        <f>IF(AA$5="","",AA$5)</f>
        <v>46381</v>
      </c>
      <c r="AB19" s="142" t="n">
        <f>IF(AB$5="","",AB$5)</f>
        <v>46382</v>
      </c>
      <c r="AC19" s="142" t="n">
        <f>IF(AC$5="","",AC$5)</f>
        <v>46383</v>
      </c>
      <c r="AD19" s="142" t="n">
        <f>IF(AD$5="","",AD$5)</f>
        <v>46384</v>
      </c>
      <c r="AE19" s="142" t="n">
        <f>IF(AE$5="","",AE$5)</f>
        <v>46385</v>
      </c>
      <c r="AF19" s="142" t="n">
        <f>IF(AF$5="","",AF$5)</f>
        <v>46386</v>
      </c>
      <c r="AG19" s="142" t="n">
        <f>IF(AG$5="","",AG$5)</f>
        <v>46387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46357</v>
      </c>
      <c r="D30" s="48" t="n">
        <f>IF(D$5="","",D$5)</f>
        <v>46358</v>
      </c>
      <c r="E30" s="48" t="n">
        <f>IF(E$5="","",E$5)</f>
        <v>46359</v>
      </c>
      <c r="F30" s="48" t="n">
        <f>IF(F$5="","",F$5)</f>
        <v>46360</v>
      </c>
      <c r="G30" s="48" t="n">
        <f>IF(G$5="","",G$5)</f>
        <v>46361</v>
      </c>
      <c r="H30" s="48" t="n">
        <f>IF(H$5="","",H$5)</f>
        <v>46362</v>
      </c>
      <c r="I30" s="48" t="n">
        <f>IF(I$5="","",I$5)</f>
        <v>46363</v>
      </c>
      <c r="J30" s="48" t="n">
        <f>IF(J$5="","",J$5)</f>
        <v>46364</v>
      </c>
      <c r="K30" s="48" t="n">
        <f>IF(K$5="","",K$5)</f>
        <v>46365</v>
      </c>
      <c r="L30" s="48" t="n">
        <f>IF(L$5="","",L$5)</f>
        <v>46366</v>
      </c>
      <c r="M30" s="48" t="n">
        <f>IF(M$5="","",M$5)</f>
        <v>46367</v>
      </c>
      <c r="N30" s="48" t="n">
        <f>IF(N$5="","",N$5)</f>
        <v>46368</v>
      </c>
      <c r="O30" s="48" t="n">
        <f>IF(O$5="","",O$5)</f>
        <v>46369</v>
      </c>
      <c r="P30" s="48" t="n">
        <f>IF(P$5="","",P$5)</f>
        <v>46370</v>
      </c>
      <c r="Q30" s="48" t="n">
        <f>IF(Q$5="","",Q$5)</f>
        <v>46371</v>
      </c>
      <c r="R30" s="48" t="n">
        <f>IF(R$5="","",R$5)</f>
        <v>46372</v>
      </c>
      <c r="S30" s="48" t="n">
        <f>IF(S$5="","",S$5)</f>
        <v>46373</v>
      </c>
      <c r="T30" s="48" t="n">
        <f>IF(T$5="","",T$5)</f>
        <v>46374</v>
      </c>
      <c r="U30" s="48" t="n">
        <f>IF(U$5="","",U$5)</f>
        <v>46375</v>
      </c>
      <c r="V30" s="48" t="n">
        <f>IF(V$5="","",V$5)</f>
        <v>46376</v>
      </c>
      <c r="W30" s="48" t="n">
        <f>IF(W$5="","",W$5)</f>
        <v>46377</v>
      </c>
      <c r="X30" s="48" t="n">
        <f>IF(X$5="","",X$5)</f>
        <v>46378</v>
      </c>
      <c r="Y30" s="48" t="n">
        <f>IF(Y$5="","",Y$5)</f>
        <v>46379</v>
      </c>
      <c r="Z30" s="48" t="n">
        <f>IF(Z$5="","",Z$5)</f>
        <v>46380</v>
      </c>
      <c r="AA30" s="48" t="n">
        <f>IF(AA$5="","",AA$5)</f>
        <v>46381</v>
      </c>
      <c r="AB30" s="48" t="n">
        <f>IF(AB$5="","",AB$5)</f>
        <v>46382</v>
      </c>
      <c r="AC30" s="48" t="n">
        <f>IF(AC$5="","",AC$5)</f>
        <v>46383</v>
      </c>
      <c r="AD30" s="48" t="n">
        <f>IF(AD$5="","",AD$5)</f>
        <v>46384</v>
      </c>
      <c r="AE30" s="48" t="n">
        <f>IF(AE$5="","",AE$5)</f>
        <v>46385</v>
      </c>
      <c r="AF30" s="48" t="n">
        <f>IF(AF$5="","",AF$5)</f>
        <v>46386</v>
      </c>
      <c r="AG30" s="48" t="n">
        <f>IF(AG$5="","",AG$5)</f>
        <v>46387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46357</v>
      </c>
      <c r="D31" s="142" t="n">
        <f>IF(D$5="","",D$5)</f>
        <v>46358</v>
      </c>
      <c r="E31" s="142" t="n">
        <f>IF(E$5="","",E$5)</f>
        <v>46359</v>
      </c>
      <c r="F31" s="142" t="n">
        <f>IF(F$5="","",F$5)</f>
        <v>46360</v>
      </c>
      <c r="G31" s="142" t="n">
        <f>IF(G$5="","",G$5)</f>
        <v>46361</v>
      </c>
      <c r="H31" s="142" t="n">
        <f>IF(H$5="","",H$5)</f>
        <v>46362</v>
      </c>
      <c r="I31" s="142" t="n">
        <f>IF(I$5="","",I$5)</f>
        <v>46363</v>
      </c>
      <c r="J31" s="142" t="n">
        <f>IF(J$5="","",J$5)</f>
        <v>46364</v>
      </c>
      <c r="K31" s="142" t="n">
        <f>IF(K$5="","",K$5)</f>
        <v>46365</v>
      </c>
      <c r="L31" s="142" t="n">
        <f>IF(L$5="","",L$5)</f>
        <v>46366</v>
      </c>
      <c r="M31" s="142" t="n">
        <f>IF(M$5="","",M$5)</f>
        <v>46367</v>
      </c>
      <c r="N31" s="142" t="n">
        <f>IF(N$5="","",N$5)</f>
        <v>46368</v>
      </c>
      <c r="O31" s="142" t="n">
        <f>IF(O$5="","",O$5)</f>
        <v>46369</v>
      </c>
      <c r="P31" s="142" t="n">
        <f>IF(P$5="","",P$5)</f>
        <v>46370</v>
      </c>
      <c r="Q31" s="142" t="n">
        <f>IF(Q$5="","",Q$5)</f>
        <v>46371</v>
      </c>
      <c r="R31" s="142" t="n">
        <f>IF(R$5="","",R$5)</f>
        <v>46372</v>
      </c>
      <c r="S31" s="142" t="n">
        <f>IF(S$5="","",S$5)</f>
        <v>46373</v>
      </c>
      <c r="T31" s="142" t="n">
        <f>IF(T$5="","",T$5)</f>
        <v>46374</v>
      </c>
      <c r="U31" s="142" t="n">
        <f>IF(U$5="","",U$5)</f>
        <v>46375</v>
      </c>
      <c r="V31" s="142" t="n">
        <f>IF(V$5="","",V$5)</f>
        <v>46376</v>
      </c>
      <c r="W31" s="142" t="n">
        <f>IF(W$5="","",W$5)</f>
        <v>46377</v>
      </c>
      <c r="X31" s="142" t="n">
        <f>IF(X$5="","",X$5)</f>
        <v>46378</v>
      </c>
      <c r="Y31" s="142" t="n">
        <f>IF(Y$5="","",Y$5)</f>
        <v>46379</v>
      </c>
      <c r="Z31" s="142" t="n">
        <f>IF(Z$5="","",Z$5)</f>
        <v>46380</v>
      </c>
      <c r="AA31" s="142" t="n">
        <f>IF(AA$5="","",AA$5)</f>
        <v>46381</v>
      </c>
      <c r="AB31" s="142" t="n">
        <f>IF(AB$5="","",AB$5)</f>
        <v>46382</v>
      </c>
      <c r="AC31" s="142" t="n">
        <f>IF(AC$5="","",AC$5)</f>
        <v>46383</v>
      </c>
      <c r="AD31" s="142" t="n">
        <f>IF(AD$5="","",AD$5)</f>
        <v>46384</v>
      </c>
      <c r="AE31" s="142" t="n">
        <f>IF(AE$5="","",AE$5)</f>
        <v>46385</v>
      </c>
      <c r="AF31" s="142" t="n">
        <f>IF(AF$5="","",AF$5)</f>
        <v>46386</v>
      </c>
      <c r="AG31" s="142" t="n">
        <f>IF(AG$5="","",AG$5)</f>
        <v>46387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summary'!$C$4,12,1),DATE('Billable summary'!$C$4,13,0))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84" priority="1">
      <formula>OR(C$5="",WEEKDAY(C$5,2)&gt;5)</formula>
    </cfRule>
    <cfRule type="expression" dxfId="185" priority="2">
      <formula>AND(C$5="",NOT(ISBLANK(C7)))</formula>
    </cfRule>
  </conditionalFormatting>
  <conditionalFormatting sqref="C20:AG25">
    <cfRule type="expression" dxfId="186" priority="3">
      <formula>OR(C$5="",WEEKDAY(C$5,2)&gt;5)</formula>
    </cfRule>
    <cfRule type="expression" dxfId="187" priority="4">
      <formula>AND(C$5="",NOT(ISBLANK(C20)))</formula>
    </cfRule>
  </conditionalFormatting>
  <conditionalFormatting sqref="C32:AG35">
    <cfRule type="expression" dxfId="188" priority="5">
      <formula>OR(C$5="",WEEKDAY(C$5,2)&gt;5)</formula>
    </cfRule>
    <cfRule type="expression" dxfId="189" priority="6">
      <formula>AND(C$5="",NOT(ISBLANK(C32)))</formula>
    </cfRule>
  </conditionalFormatting>
  <conditionalFormatting sqref="I43:K43">
    <cfRule type="expression" dxfId="190" priority="7">
      <formula>AND(ISNUMBER($I$43),$I$43&gt;=$I$44)</formula>
    </cfRule>
    <cfRule type="expression" dxfId="191" priority="8">
      <formula>AND(ISNUMBER($I$43),$I$43&lt;$I$44)</formula>
    </cfRule>
  </conditionalFormatting>
  <conditionalFormatting sqref="B51:AH51">
    <cfRule type="containsText" dxfId="192" priority="9" operator="containsText" text="Check"/>
    <cfRule type="containsText" dxfId="193" priority="10" operator="containsText" text="Invalid"/>
    <cfRule type="containsText" dxfId="194" priority="11" operator="containsText" text="Negative"/>
    <cfRule type="containsText" dxfId="19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2" max="2" width="38" hidden="0" customWidth="1"/>
    <col min="3" max="3" width="60" hidden="0" customWidth="1"/>
    <col min="4" max="4" width="24" hidden="0" customWidth="1"/>
    <col min="5" max="5" width="3" hidden="0" customWidth="1"/>
  </cols>
  <sheetData>
    <row r="1" ht="23" customHeight="1">
      <c r="A1" s="55"/>
      <c r="B1" s="3"/>
      <c r="C1" s="3"/>
      <c r="D1" s="3"/>
      <c r="E1" s="55"/>
    </row>
    <row r="2" ht="34" customHeight="1">
      <c r="A2" s="55"/>
      <c r="B2" s="4" t="str">
        <v>Project resources</v>
      </c>
      <c r="C2" s="4"/>
      <c r="D2" s="4"/>
      <c r="E2" s="55"/>
    </row>
    <row r="3" ht="23" customHeight="1">
      <c r="A3" s="55"/>
      <c r="B3" s="3"/>
      <c r="C3" s="3"/>
      <c r="D3" s="3"/>
      <c r="E3" s="55"/>
    </row>
    <row r="4" ht="23" customHeight="1">
      <c r="A4" s="55"/>
      <c r="B4" s="3"/>
      <c r="C4" s="3"/>
      <c r="D4" s="3"/>
      <c r="E4" s="55"/>
    </row>
    <row r="5" ht="28" customHeight="1">
      <c r="A5" s="55"/>
      <c r="B5" s="238" t="str">
        <v>Resource</v>
      </c>
      <c r="C5" s="238" t="str">
        <v>Use it to</v>
      </c>
      <c r="D5" s="238" t="str">
        <v>Website</v>
      </c>
      <c r="E5" s="55"/>
    </row>
    <row r="6" ht="23" customHeight="1">
      <c r="A6" s="55"/>
      <c r="B6" s="67"/>
      <c r="C6" s="67"/>
      <c r="D6" s="67"/>
      <c r="E6" s="55"/>
    </row>
    <row r="7" ht="36" customHeight="1">
      <c r="A7" s="55"/>
      <c r="B7" s="239" t="str">
        <f>HYPERLINK("https://www.stakeholdermap.com/project-templates/project-management-templates.php","Project management templates")</f>
        <v>Project management templates</v>
      </c>
      <c r="C7" s="240" t="str">
        <v>Find related planning and reporting templates.</v>
      </c>
      <c r="D7" s="240" t="str">
        <v>stakeholdermap.com</v>
      </c>
      <c r="E7" s="55"/>
    </row>
    <row r="8" ht="23" customHeight="1">
      <c r="A8" s="55"/>
      <c r="B8" s="67"/>
      <c r="C8" s="67"/>
      <c r="D8" s="67"/>
      <c r="E8" s="55"/>
    </row>
    <row r="9" ht="36" customHeight="1">
      <c r="A9" s="55"/>
      <c r="B9" s="239" t="str">
        <f>HYPERLINK("https://www.stakeholdermap.com/project-templates/activity-attributes-template.php","Activity attributes template")</f>
        <v>Activity attributes template</v>
      </c>
      <c r="C9" s="240" t="str">
        <v>Record the resources needed for each activity.</v>
      </c>
      <c r="D9" s="240" t="str">
        <v>stakeholdermap.com</v>
      </c>
      <c r="E9" s="55"/>
    </row>
    <row r="10" ht="23" customHeight="1">
      <c r="A10" s="55"/>
      <c r="B10" s="67"/>
      <c r="C10" s="67"/>
      <c r="D10" s="67"/>
      <c r="E10" s="55"/>
    </row>
    <row r="11" ht="36" customHeight="1">
      <c r="A11" s="55"/>
      <c r="B11" s="239" t="str">
        <f>HYPERLINK("https://www.stakeholdermap.com/project-templates/activity-list-template.php","Activity list template")</f>
        <v>Activity list template</v>
      </c>
      <c r="C11" s="240" t="str">
        <v>List the work that needs to be delivered.</v>
      </c>
      <c r="D11" s="240" t="str">
        <v>stakeholdermap.com</v>
      </c>
      <c r="E11" s="55"/>
    </row>
    <row r="12" ht="23" customHeight="1">
      <c r="A12" s="55"/>
      <c r="B12" s="67"/>
      <c r="C12" s="67"/>
      <c r="D12" s="67"/>
      <c r="E12" s="55"/>
    </row>
    <row r="13" ht="36" customHeight="1">
      <c r="A13" s="55"/>
      <c r="B13" s="239" t="str">
        <f>HYPERLINK("https://www.stakeholdermap.com/project-templates/project-status-report-excel.php","Project status report")</f>
        <v>Project status report</v>
      </c>
      <c r="C13" s="240" t="str">
        <v>Report delivery progress alongside utilisation.</v>
      </c>
      <c r="D13" s="240" t="str">
        <v>stakeholdermap.com</v>
      </c>
      <c r="E13" s="55"/>
    </row>
    <row r="14" ht="23" customHeight="1">
      <c r="A14" s="55"/>
      <c r="B14" s="67"/>
      <c r="C14" s="67"/>
      <c r="D14" s="67"/>
      <c r="E14" s="55"/>
    </row>
    <row r="15" ht="36" customHeight="1">
      <c r="A15" s="55"/>
      <c r="B15" s="239" t="str">
        <f>HYPERLINK("https://www.stakeholdermap.com/project-templates/wbs-dictionary.php","WBS dictionary template")</f>
        <v>WBS dictionary template</v>
      </c>
      <c r="C15" s="240" t="str">
        <v>Define project deliverables and responsibilities.</v>
      </c>
      <c r="D15" s="240" t="str">
        <v>stakeholdermap.com</v>
      </c>
      <c r="E15" s="55"/>
    </row>
    <row r="16" ht="23" customHeight="1">
      <c r="A16" s="55"/>
      <c r="B16" s="67"/>
      <c r="C16" s="67"/>
      <c r="D16" s="67"/>
      <c r="E16" s="55"/>
    </row>
    <row r="17" ht="23" customHeight="1">
      <c r="A17" s="55"/>
      <c r="B17" s="67"/>
      <c r="C17" s="67"/>
      <c r="D17" s="67"/>
      <c r="E17" s="55"/>
    </row>
    <row r="18" ht="40" customHeight="1">
      <c r="A18" s="55"/>
      <c r="B18" s="198" t="str">
        <v>Template structure based on Tracker 0911.xlsx. Original customer names, booked hours and historic holiday markings have been cleared.</v>
      </c>
      <c r="C18" s="198"/>
      <c r="D18" s="198"/>
      <c r="E18" s="55"/>
    </row>
    <row r="19" ht="23" customHeight="1">
      <c r="A19" s="55"/>
      <c r="B19" s="53"/>
      <c r="C19" s="53"/>
      <c r="D19" s="53"/>
      <c r="E19" s="55"/>
    </row>
    <row r="20" ht="23" customHeight="1">
      <c r="A20" s="55"/>
      <c r="B20" s="3"/>
      <c r="C20" s="3"/>
      <c r="D20" s="3"/>
      <c r="E20" s="55"/>
    </row>
  </sheetData>
  <mergeCells>
    <mergeCell ref="B2:D2"/>
    <mergeCell ref="B18:D18"/>
  </mergeCells>
  <pageMargins left="0.7" right="0.7" top="0.75" bottom="0.75" header="0.3" footer="0.3"/>
</worksheet>
</file>