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d09238f540c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illable summary" sheetId="1" ns1:id="R13627a59885a4a94"/>
    <sheet name="MBO summary" sheetId="2" ns1:id="R7113655bd47546f5"/>
    <sheet name="Jan" sheetId="3" ns1:id="Rb07383542a2b48a2"/>
    <sheet name="Feb" sheetId="4" ns1:id="Rf9be19a4660f47a3"/>
    <sheet name="Mar" sheetId="5" ns1:id="Rfe214e1af471417a"/>
    <sheet name="Apr" sheetId="6" ns1:id="R9e34234df4e34ad6"/>
    <sheet name="May" sheetId="7" ns1:id="R3011fe2522b14b83"/>
    <sheet name="Jun" sheetId="8" ns1:id="R81ebbe1c90814d81"/>
    <sheet name="Jul" sheetId="9" ns1:id="R49e378f5f91b4b44"/>
    <sheet name="Aug" sheetId="10" ns1:id="R09b0c093d2b340e6"/>
    <sheet name="Sep" sheetId="11" ns1:id="Rdaf96f4ed5d047b1"/>
    <sheet name="Oct" sheetId="12" ns1:id="Rb3069fa726eb410f"/>
    <sheet name="Nov" sheetId="13" ns1:id="R47230071c73b4d7d"/>
    <sheet name="Dec" sheetId="14" ns1:id="Rbdf7b2312c3c4539"/>
    <sheet name="Resources" sheetId="15" ns1:id="R4a7ebd9cb8a14604"/>
  </sheet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6">
    <numFmt numFmtId="200" formatCode="0%"/>
    <numFmt numFmtId="201" formatCode="0.0"/>
    <numFmt numFmtId="202" formatCode="0.0%"/>
    <numFmt numFmtId="203" formatCode="ddd"/>
    <numFmt numFmtId="204" formatCode="d"/>
    <numFmt numFmtId="205" formatCode="0.0;[Red](0.0);–"/>
  </numFmts>
  <fonts count="8">
    <font>
      <sz val="11"/>
      <name val="Carlito"/>
    </font>
    <font>
      <sz val="10"/>
      <color rgb="FF20253F"/>
      <name val="Arial"/>
    </font>
    <font>
      <b/>
      <sz val="16"/>
      <color rgb="FF006053"/>
      <name val="Arial"/>
    </font>
    <font>
      <b/>
      <sz val="10"/>
      <color rgb="FFFFFFFF"/>
      <name val="Arial"/>
    </font>
    <font>
      <b/>
      <sz val="10"/>
      <color rgb="FF20253F"/>
      <name val="Arial"/>
    </font>
    <font>
      <sz val="10"/>
      <color rgb="FF646A79"/>
      <name val="Arial"/>
    </font>
    <font>
      <sz val="9"/>
      <color rgb="FF20253F"/>
      <name val="Arial"/>
    </font>
    <font>
      <b/>
      <sz val="10"/>
      <color rgb="FF006053"/>
      <name val="Arial"/>
    </font>
  </fonts>
  <fills count="8">
    <fill>
      <patternFill patternType="none"/>
    </fill>
    <fill>
      <patternFill patternType="gray125"/>
    </fill>
    <fill>
      <patternFill patternType="solid">
        <fgColor rgb="FFF5F6F7"/>
      </patternFill>
    </fill>
    <fill>
      <patternFill patternType="solid">
        <fgColor rgb="FFFFF2CE"/>
      </patternFill>
    </fill>
    <fill>
      <patternFill patternType="solid">
        <fgColor rgb="FF006053"/>
      </patternFill>
    </fill>
    <fill>
      <patternFill patternType="solid">
        <fgColor rgb="FFFFFFFF"/>
      </patternFill>
    </fill>
    <fill>
      <patternFill patternType="solid">
        <fgColor rgb="FFD8EFE4"/>
      </patternFill>
    </fill>
    <fill>
      <patternFill patternType="solid">
        <fgColor rgb="FFF5F6F8"/>
      </patternFill>
    </fill>
  </fills>
  <borders count="42">
    <border>
      <left/>
      <right/>
      <top/>
      <bottom/>
      <diagonal/>
    </border>
    <border>
      <left/>
      <right/>
      <top/>
      <bottom style="hair">
        <color rgb="FFD8DDE2"/>
      </bottom>
      <diagonal/>
    </border>
    <border>
      <left/>
      <right/>
      <top style="hair">
        <color rgb="FFD8DDE2"/>
      </top>
      <bottom style="hair">
        <color rgb="FFD8DDE2"/>
      </bottom>
      <diagonal/>
    </border>
    <border>
      <left/>
      <right/>
      <top style="hair">
        <color rgb="FFD8DDE2"/>
      </top>
      <bottom/>
      <diagonal/>
    </border>
    <border>
      <left style="thin">
        <color rgb="FFC7CED6"/>
      </left>
      <right style="thin">
        <color rgb="FFC7CED6"/>
      </right>
      <top style="thin">
        <color rgb="FFC7CED6"/>
      </top>
      <bottom style="thin">
        <color rgb="FFC7CED6"/>
      </bottom>
      <diagonal/>
    </border>
    <border>
      <left style="thin">
        <color rgb="FFC7CED6"/>
      </left>
      <right style="thin">
        <color rgb="FFB8D7D0"/>
      </right>
      <top style="thin">
        <color rgb="FFC7CED6"/>
      </top>
      <bottom style="thin">
        <color rgb="FF879BA5"/>
      </bottom>
      <diagonal/>
    </border>
    <border>
      <left style="thin">
        <color rgb="FFB8D7D0"/>
      </left>
      <right style="thin">
        <color rgb="FFB8D7D0"/>
      </right>
      <top style="thin">
        <color rgb="FFC7CED6"/>
      </top>
      <bottom style="thin">
        <color rgb="FF879BA5"/>
      </bottom>
      <diagonal/>
    </border>
    <border>
      <left style="thin">
        <color rgb="FFB8D7D0"/>
      </left>
      <right style="thin">
        <color rgb="FFC7CED6"/>
      </right>
      <top style="thin">
        <color rgb="FFC7CED6"/>
      </top>
      <bottom style="thin">
        <color rgb="FF879BA5"/>
      </bottom>
      <diagonal/>
    </border>
    <border>
      <left style="thin">
        <color rgb="FFC7CED6"/>
      </left>
      <right style="thin">
        <color rgb="FFC7CED6"/>
      </right>
      <top style="thin">
        <color rgb="FF879BA5"/>
      </top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/>
      <diagonal/>
    </border>
    <border>
      <left/>
      <right/>
      <top style="thin">
        <color rgb="FF879BA5"/>
      </top>
      <bottom/>
      <diagonal/>
    </border>
    <border>
      <left/>
      <right style="thin">
        <color rgb="FF879BA5"/>
      </right>
      <top style="thin">
        <color rgb="FF879BA5"/>
      </top>
      <bottom/>
      <diagonal/>
    </border>
    <border>
      <left style="thin">
        <color rgb="FF879BA5"/>
      </left>
      <right/>
      <top/>
      <bottom/>
      <diagonal/>
    </border>
    <border>
      <left/>
      <right style="thin">
        <color rgb="FF879BA5"/>
      </right>
      <top/>
      <bottom/>
      <diagonal/>
    </border>
    <border>
      <left style="thin">
        <color rgb="FF879BA5"/>
      </left>
      <right/>
      <top/>
      <bottom style="thin">
        <color rgb="FF879BA5"/>
      </bottom>
      <diagonal/>
    </border>
    <border>
      <left/>
      <right/>
      <top/>
      <bottom style="thin">
        <color rgb="FF879BA5"/>
      </bottom>
      <diagonal/>
    </border>
    <border>
      <left/>
      <right style="thin">
        <color rgb="FF879BA5"/>
      </right>
      <top/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 style="thin">
        <color rgb="FFB8D7D0"/>
      </bottom>
      <diagonal/>
    </border>
    <border>
      <left/>
      <right/>
      <top style="thin">
        <color rgb="FF879BA5"/>
      </top>
      <bottom style="thin">
        <color rgb="FFB8D7D0"/>
      </bottom>
      <diagonal/>
    </border>
    <border>
      <left/>
      <right style="thin">
        <color rgb="FF879BA5"/>
      </right>
      <top style="thin">
        <color rgb="FF879BA5"/>
      </top>
      <bottom style="thin">
        <color rgb="FFB8D7D0"/>
      </bottom>
      <diagonal/>
    </border>
    <border>
      <left style="thin">
        <color rgb="FF879BA5"/>
      </left>
      <right/>
      <top/>
      <bottom style="thin">
        <color rgb="FFC7CED6"/>
      </bottom>
      <diagonal/>
    </border>
    <border>
      <left/>
      <right/>
      <top/>
      <bottom style="thin">
        <color rgb="FFC7CED6"/>
      </bottom>
      <diagonal/>
    </border>
    <border>
      <left/>
      <right style="thin">
        <color rgb="FF879BA5"/>
      </right>
      <top/>
      <bottom style="thin">
        <color rgb="FFC7CED6"/>
      </bottom>
      <diagonal/>
    </border>
    <border>
      <left style="thin">
        <color rgb="FF879BA5"/>
      </left>
      <right style="thin">
        <color rgb="FF879BA5"/>
      </right>
      <top style="thin">
        <color rgb="FF879BA5"/>
      </top>
      <bottom/>
      <diagonal/>
    </border>
    <border>
      <left style="thin">
        <color rgb="FF879BA5"/>
      </left>
      <right style="thin">
        <color rgb="FF879BA5"/>
      </right>
      <top/>
      <bottom/>
      <diagonal/>
    </border>
    <border>
      <left style="thin">
        <color rgb="FF879BA5"/>
      </left>
      <right style="thin">
        <color rgb="FF879BA5"/>
      </right>
      <top/>
      <bottom style="thin">
        <color rgb="FF879BA5"/>
      </bottom>
      <diagonal/>
    </border>
    <border>
      <left style="thin">
        <color rgb="FF879BA5"/>
      </left>
      <right style="thin">
        <color rgb="FF879BA5"/>
      </right>
      <top style="thin">
        <color rgb="FF879BA5"/>
      </top>
      <bottom style="thin">
        <color rgb="FFB8D7D0"/>
      </bottom>
      <diagonal/>
    </border>
    <border>
      <left style="thin">
        <color rgb="FF879BA5"/>
      </left>
      <right style="thin">
        <color rgb="FF879BA5"/>
      </right>
      <top/>
      <bottom style="thin">
        <color rgb="FFC7CED6"/>
      </bottom>
      <diagonal/>
    </border>
    <border>
      <left/>
      <right/>
      <top style="thin">
        <color rgb="FFC7CED6"/>
      </top>
      <bottom style="thin">
        <color rgb="FFC7CED6"/>
      </bottom>
      <diagonal/>
    </border>
    <border>
      <left/>
      <right/>
      <top style="thin">
        <color rgb="FFC7CED6"/>
      </top>
      <bottom/>
      <diagonal/>
    </border>
    <border>
      <left style="thin">
        <color rgb="FF879BA5"/>
      </left>
      <right style="thin">
        <color rgb="FF879BA5"/>
      </right>
      <top style="thin">
        <color rgb="FF879BA5"/>
      </top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 style="thin">
        <color rgb="FF879BA5"/>
      </bottom>
      <diagonal/>
    </border>
    <border>
      <left/>
      <right/>
      <top style="thin">
        <color rgb="FF879BA5"/>
      </top>
      <bottom style="thin">
        <color rgb="FF879BA5"/>
      </bottom>
      <diagonal/>
    </border>
    <border>
      <left/>
      <right style="thin">
        <color rgb="FF879BA5"/>
      </right>
      <top style="thin">
        <color rgb="FF879BA5"/>
      </top>
      <bottom style="thin">
        <color rgb="FF879BA5"/>
      </bottom>
      <diagonal/>
    </border>
    <border>
      <left style="thin">
        <color rgb="FFC7CED6"/>
      </left>
      <right style="thin">
        <color rgb="FF879BA5"/>
      </right>
      <top style="thin">
        <color rgb="FFC7CED6"/>
      </top>
      <bottom style="thin">
        <color rgb="FFC7CED6"/>
      </bottom>
      <diagonal/>
    </border>
    <border>
      <left style="thin">
        <color rgb="FF879BA5"/>
      </left>
      <right style="thin">
        <color rgb="FFC7CED6"/>
      </right>
      <top style="thin">
        <color rgb="FFC7CED6"/>
      </top>
      <bottom style="thin">
        <color rgb="FFC7CED6"/>
      </bottom>
      <diagonal/>
    </border>
    <border>
      <left style="thin">
        <color rgb="FFB8D7D0"/>
      </left>
      <right style="thin">
        <color rgb="FFB8D7D0"/>
      </right>
      <top style="thin">
        <color rgb="FFB8D7D0"/>
      </top>
      <bottom style="thin">
        <color rgb="FFB8D7D0"/>
      </bottom>
      <diagonal/>
    </border>
    <border>
      <left/>
      <right style="thin">
        <color rgb="FFC7CED6"/>
      </right>
      <top style="thin">
        <color rgb="FF879BA5"/>
      </top>
      <bottom style="thin">
        <color rgb="FF879BA5"/>
      </bottom>
      <diagonal/>
    </border>
    <border>
      <left style="thin">
        <color rgb="FFC7CED6"/>
      </left>
      <right/>
      <top style="thin">
        <color rgb="FF879BA5"/>
      </top>
      <bottom style="thin">
        <color rgb="FF879BA5"/>
      </bottom>
      <diagonal/>
    </border>
    <border>
      <left style="thin">
        <color rgb="FF879BA5"/>
      </left>
      <right/>
      <top style="thin">
        <color rgb="FF879BA5"/>
      </top>
      <bottom style="thin">
        <color rgb="FFC7CED6"/>
      </bottom>
      <diagonal/>
    </border>
    <border>
      <left/>
      <right/>
      <top style="thin">
        <color rgb="FF879BA5"/>
      </top>
      <bottom style="thin">
        <color rgb="FFC7CED6"/>
      </bottom>
      <diagonal/>
    </border>
    <border>
      <left/>
      <right style="thin">
        <color rgb="FF879BA5"/>
      </right>
      <top style="thin">
        <color rgb="FF879BA5"/>
      </top>
      <bottom style="thin">
        <color rgb="FFC7CED6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horizontal="center" vertical="center"/>
    </xf>
    <xf numFmtId="201" fontId="1" fillId="5" borderId="0" xfId="0" applyNumberFormat="1" applyFont="1" applyFill="1" applyBorder="1" applyAlignment="1">
      <alignment horizontal="center" vertical="center"/>
    </xf>
    <xf numFmtId="202" fontId="1" fillId="5" borderId="0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Border="1" applyAlignment="1">
      <alignment horizontal="center" vertical="center" wrapText="1"/>
    </xf>
    <xf numFmtId="201" fontId="1" fillId="5" borderId="0" xfId="0" applyNumberFormat="1" applyFont="1" applyFill="1" applyBorder="1" applyAlignment="1">
      <alignment vertical="center"/>
    </xf>
    <xf numFmtId="202" fontId="1" fillId="5" borderId="0" xfId="0" applyNumberFormat="1" applyFont="1" applyFill="1" applyBorder="1" applyAlignment="1">
      <alignment vertical="center"/>
    </xf>
    <xf numFmtId="0" fontId="1" fillId="5" borderId="0" xfId="0" applyNumberFormat="1" applyFont="1" applyFill="1" applyBorder="1" applyAlignment="1">
      <alignment vertical="center" wrapText="1"/>
    </xf>
    <xf numFmtId="201" fontId="1" fillId="5" borderId="0" xfId="0" applyNumberFormat="1" applyFont="1" applyFill="1" applyBorder="1" applyAlignment="1">
      <alignment horizontal="center" vertical="center" wrapText="1"/>
    </xf>
    <xf numFmtId="202" fontId="1" fillId="5" borderId="0" xfId="0" applyNumberFormat="1" applyFont="1" applyFill="1" applyBorder="1" applyAlignment="1">
      <alignment horizontal="center" vertical="center" wrapText="1"/>
    </xf>
    <xf numFmtId="200" fontId="1" fillId="2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vertical="center"/>
    </xf>
    <xf numFmtId="204" fontId="1" fillId="2" borderId="0" xfId="0" applyNumberFormat="1" applyFont="1" applyFill="1" applyBorder="1" applyAlignment="1">
      <alignment vertical="center"/>
    </xf>
    <xf numFmtId="204" fontId="1" fillId="4" borderId="0" xfId="0" applyNumberFormat="1" applyFont="1" applyFill="1" applyBorder="1" applyAlignment="1">
      <alignment vertical="center"/>
    </xf>
    <xf numFmtId="204" fontId="3" fillId="4" borderId="0" xfId="0" applyNumberFormat="1" applyFont="1" applyFill="1" applyBorder="1" applyAlignment="1">
      <alignment vertical="center"/>
    </xf>
    <xf numFmtId="205" fontId="1" fillId="3" borderId="0" xfId="0" applyNumberFormat="1" applyFont="1" applyFill="1" applyBorder="1" applyAlignment="1">
      <alignment vertical="center"/>
    </xf>
    <xf numFmtId="205" fontId="1" fillId="2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/>
    </xf>
    <xf numFmtId="205" fontId="1" fillId="3" borderId="1" xfId="0" applyNumberFormat="1" applyFont="1" applyFill="1" applyBorder="1" applyAlignment="1">
      <alignment vertical="center"/>
    </xf>
    <xf numFmtId="205" fontId="1" fillId="2" borderId="1" xfId="0" applyNumberFormat="1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vertical="center"/>
    </xf>
    <xf numFmtId="205" fontId="1" fillId="3" borderId="2" xfId="0" applyNumberFormat="1" applyFont="1" applyFill="1" applyBorder="1" applyAlignment="1">
      <alignment vertical="center"/>
    </xf>
    <xf numFmtId="205" fontId="1" fillId="2" borderId="2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vertical="center"/>
    </xf>
    <xf numFmtId="205" fontId="1" fillId="3" borderId="3" xfId="0" applyNumberFormat="1" applyFont="1" applyFill="1" applyBorder="1" applyAlignment="1">
      <alignment vertical="center"/>
    </xf>
    <xf numFmtId="205" fontId="1" fillId="2" borderId="3" xfId="0" applyNumberFormat="1" applyFont="1" applyFill="1" applyBorder="1" applyAlignment="1">
      <alignment vertical="center"/>
    </xf>
    <xf numFmtId="0" fontId="1" fillId="6" borderId="0" xfId="0" applyNumberFormat="1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/>
    </xf>
    <xf numFmtId="205" fontId="4" fillId="6" borderId="0" xfId="0" applyNumberFormat="1" applyFont="1" applyFill="1" applyBorder="1" applyAlignment="1">
      <alignment vertical="center"/>
    </xf>
    <xf numFmtId="203" fontId="1" fillId="2" borderId="0" xfId="0" applyNumberFormat="1" applyFont="1" applyFill="1" applyBorder="1" applyAlignment="1">
      <alignment horizontal="center" vertical="center"/>
    </xf>
    <xf numFmtId="204" fontId="3" fillId="4" borderId="0" xfId="0" applyNumberFormat="1" applyFont="1" applyFill="1" applyBorder="1" applyAlignment="1">
      <alignment horizontal="center" vertical="center"/>
    </xf>
    <xf numFmtId="205" fontId="1" fillId="3" borderId="1" xfId="0" applyNumberFormat="1" applyFont="1" applyFill="1" applyBorder="1" applyAlignment="1">
      <alignment horizontal="center" vertical="center"/>
    </xf>
    <xf numFmtId="205" fontId="1" fillId="3" borderId="2" xfId="0" applyNumberFormat="1" applyFont="1" applyFill="1" applyBorder="1" applyAlignment="1">
      <alignment horizontal="center" vertical="center"/>
    </xf>
    <xf numFmtId="205" fontId="1" fillId="3" borderId="3" xfId="0" applyNumberFormat="1" applyFont="1" applyFill="1" applyBorder="1" applyAlignment="1">
      <alignment horizontal="center" vertical="center"/>
    </xf>
    <xf numFmtId="205" fontId="4" fillId="6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205" fontId="1" fillId="5" borderId="1" xfId="0" applyNumberFormat="1" applyFont="1" applyFill="1" applyBorder="1" applyAlignment="1">
      <alignment vertical="center"/>
    </xf>
    <xf numFmtId="205" fontId="1" fillId="5" borderId="2" xfId="0" applyNumberFormat="1" applyFont="1" applyFill="1" applyBorder="1" applyAlignment="1">
      <alignment vertical="center"/>
    </xf>
    <xf numFmtId="205" fontId="1" fillId="5" borderId="3" xfId="0" applyNumberFormat="1" applyFont="1" applyFill="1" applyBorder="1" applyAlignment="1">
      <alignment vertical="center"/>
    </xf>
    <xf numFmtId="203" fontId="5" fillId="2" borderId="0" xfId="0" applyNumberFormat="1" applyFont="1" applyFill="1" applyBorder="1" applyAlignment="1">
      <alignment horizontal="center" vertical="center"/>
    </xf>
    <xf numFmtId="201" fontId="1" fillId="3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5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4" fillId="6" borderId="0" xfId="0" applyNumberFormat="1" applyFont="1" applyFill="1" applyBorder="1" applyAlignment="1">
      <alignment vertical="center" wrapText="1"/>
    </xf>
    <xf numFmtId="0" fontId="0" fillId="7" borderId="0" xfId="0" applyNumberFormat="1" applyFont="1" applyFill="1" applyBorder="1"/>
    <xf numFmtId="0" fontId="3" fillId="4" borderId="4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201" fontId="1" fillId="5" borderId="4" xfId="0" applyNumberFormat="1" applyFont="1" applyFill="1" applyBorder="1" applyAlignment="1">
      <alignment horizontal="center" vertical="center"/>
    </xf>
    <xf numFmtId="202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vertical="center"/>
    </xf>
    <xf numFmtId="0" fontId="3" fillId="4" borderId="6" xfId="0" applyNumberFormat="1" applyFont="1" applyFill="1" applyBorder="1" applyAlignment="1">
      <alignment vertical="center"/>
    </xf>
    <xf numFmtId="0" fontId="3" fillId="4" borderId="7" xfId="0" applyNumberFormat="1" applyFont="1" applyFill="1" applyBorder="1" applyAlignment="1">
      <alignment vertical="center"/>
    </xf>
    <xf numFmtId="0" fontId="3" fillId="4" borderId="5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left" vertical="center"/>
    </xf>
    <xf numFmtId="202" fontId="1" fillId="5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vertical="center"/>
    </xf>
    <xf numFmtId="0" fontId="3" fillId="4" borderId="10" xfId="0" applyNumberFormat="1" applyFont="1" applyFill="1" applyBorder="1" applyAlignment="1">
      <alignment vertical="center"/>
    </xf>
    <xf numFmtId="0" fontId="3" fillId="4" borderId="11" xfId="0" applyNumberFormat="1" applyFont="1" applyFill="1" applyBorder="1" applyAlignment="1">
      <alignment vertical="center"/>
    </xf>
    <xf numFmtId="201" fontId="1" fillId="5" borderId="12" xfId="0" applyNumberFormat="1" applyFont="1" applyFill="1" applyBorder="1" applyAlignment="1">
      <alignment horizontal="center" vertical="center"/>
    </xf>
    <xf numFmtId="201" fontId="1" fillId="5" borderId="13" xfId="0" applyNumberFormat="1" applyFont="1" applyFill="1" applyBorder="1" applyAlignment="1">
      <alignment horizontal="center" vertical="center"/>
    </xf>
    <xf numFmtId="202" fontId="1" fillId="5" borderId="12" xfId="0" applyNumberFormat="1" applyFont="1" applyFill="1" applyBorder="1" applyAlignment="1">
      <alignment horizontal="center" vertical="center"/>
    </xf>
    <xf numFmtId="202" fontId="1" fillId="5" borderId="13" xfId="0" applyNumberFormat="1" applyFont="1" applyFill="1" applyBorder="1" applyAlignment="1">
      <alignment horizontal="center" vertical="center"/>
    </xf>
    <xf numFmtId="0" fontId="1" fillId="5" borderId="14" xfId="0" applyNumberFormat="1" applyFont="1" applyFill="1" applyBorder="1" applyAlignment="1">
      <alignment horizontal="center" vertical="center"/>
    </xf>
    <xf numFmtId="0" fontId="1" fillId="5" borderId="15" xfId="0" applyNumberFormat="1" applyFont="1" applyFill="1" applyBorder="1" applyAlignment="1">
      <alignment horizontal="center" vertical="center"/>
    </xf>
    <xf numFmtId="0" fontId="1" fillId="5" borderId="16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vertical="center"/>
    </xf>
    <xf numFmtId="0" fontId="3" fillId="4" borderId="18" xfId="0" applyNumberFormat="1" applyFont="1" applyFill="1" applyBorder="1" applyAlignment="1">
      <alignment vertical="center"/>
    </xf>
    <xf numFmtId="0" fontId="3" fillId="4" borderId="19" xfId="0" applyNumberFormat="1" applyFont="1" applyFill="1" applyBorder="1" applyAlignment="1">
      <alignment vertical="center"/>
    </xf>
    <xf numFmtId="201" fontId="1" fillId="5" borderId="20" xfId="0" applyNumberFormat="1" applyFont="1" applyFill="1" applyBorder="1" applyAlignment="1">
      <alignment horizontal="center" vertical="center"/>
    </xf>
    <xf numFmtId="201" fontId="1" fillId="5" borderId="21" xfId="0" applyNumberFormat="1" applyFont="1" applyFill="1" applyBorder="1" applyAlignment="1">
      <alignment horizontal="center" vertical="center"/>
    </xf>
    <xf numFmtId="201" fontId="1" fillId="5" borderId="22" xfId="0" applyNumberFormat="1" applyFont="1" applyFill="1" applyBorder="1" applyAlignment="1">
      <alignment horizontal="center" vertical="center"/>
    </xf>
    <xf numFmtId="202" fontId="1" fillId="5" borderId="20" xfId="0" applyNumberFormat="1" applyFont="1" applyFill="1" applyBorder="1" applyAlignment="1">
      <alignment horizontal="center" vertical="center"/>
    </xf>
    <xf numFmtId="202" fontId="1" fillId="5" borderId="21" xfId="0" applyNumberFormat="1" applyFont="1" applyFill="1" applyBorder="1" applyAlignment="1">
      <alignment horizontal="center" vertical="center"/>
    </xf>
    <xf numFmtId="202" fontId="1" fillId="5" borderId="22" xfId="0" applyNumberFormat="1" applyFont="1" applyFill="1" applyBorder="1" applyAlignment="1">
      <alignment horizontal="center" vertical="center"/>
    </xf>
    <xf numFmtId="0" fontId="1" fillId="5" borderId="20" xfId="0" applyNumberFormat="1" applyFont="1" applyFill="1" applyBorder="1" applyAlignment="1">
      <alignment horizontal="center" vertical="center"/>
    </xf>
    <xf numFmtId="0" fontId="1" fillId="5" borderId="21" xfId="0" applyNumberFormat="1" applyFont="1" applyFill="1" applyBorder="1" applyAlignment="1">
      <alignment horizontal="center" vertical="center"/>
    </xf>
    <xf numFmtId="0" fontId="1" fillId="5" borderId="22" xfId="0" applyNumberFormat="1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center" vertical="center"/>
    </xf>
    <xf numFmtId="0" fontId="3" fillId="4" borderId="19" xfId="0" applyNumberFormat="1" applyFont="1" applyFill="1" applyBorder="1" applyAlignment="1">
      <alignment horizontal="center" vertical="center"/>
    </xf>
    <xf numFmtId="0" fontId="3" fillId="4" borderId="23" xfId="0" applyNumberFormat="1" applyFont="1" applyFill="1" applyBorder="1" applyAlignment="1">
      <alignment vertical="center"/>
    </xf>
    <xf numFmtId="201" fontId="1" fillId="5" borderId="24" xfId="0" applyNumberFormat="1" applyFont="1" applyFill="1" applyBorder="1" applyAlignment="1">
      <alignment horizontal="center" vertical="center" wrapText="1"/>
    </xf>
    <xf numFmtId="202" fontId="1" fillId="5" borderId="24" xfId="0" applyNumberFormat="1" applyFont="1" applyFill="1" applyBorder="1" applyAlignment="1">
      <alignment horizontal="center" vertical="center" wrapText="1"/>
    </xf>
    <xf numFmtId="0" fontId="1" fillId="5" borderId="25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vertical="center"/>
    </xf>
    <xf numFmtId="201" fontId="1" fillId="5" borderId="27" xfId="0" applyNumberFormat="1" applyFont="1" applyFill="1" applyBorder="1" applyAlignment="1">
      <alignment horizontal="center" vertical="center" wrapText="1"/>
    </xf>
    <xf numFmtId="202" fontId="1" fillId="5" borderId="27" xfId="0" applyNumberFormat="1" applyFont="1" applyFill="1" applyBorder="1" applyAlignment="1">
      <alignment horizontal="center" vertical="center" wrapText="1"/>
    </xf>
    <xf numFmtId="0" fontId="1" fillId="5" borderId="27" xfId="0" applyNumberFormat="1" applyFont="1" applyFill="1" applyBorder="1" applyAlignment="1">
      <alignment horizontal="center" vertical="center" wrapText="1"/>
    </xf>
    <xf numFmtId="0" fontId="3" fillId="4" borderId="26" xfId="0" applyNumberFormat="1" applyFont="1" applyFill="1" applyBorder="1" applyAlignment="1">
      <alignment horizontal="center" vertical="center"/>
    </xf>
    <xf numFmtId="0" fontId="1" fillId="2" borderId="21" xfId="0" applyNumberFormat="1" applyFont="1" applyFill="1" applyBorder="1" applyAlignment="1">
      <alignment horizontal="left" vertical="center"/>
    </xf>
    <xf numFmtId="0" fontId="1" fillId="2" borderId="28" xfId="0" applyNumberFormat="1" applyFont="1" applyFill="1" applyBorder="1" applyAlignment="1">
      <alignment horizontal="left" vertical="center"/>
    </xf>
    <xf numFmtId="0" fontId="1" fillId="2" borderId="29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vertical="center"/>
    </xf>
    <xf numFmtId="200" fontId="1" fillId="3" borderId="30" xfId="0" applyNumberFormat="1" applyFont="1" applyFill="1" applyBorder="1" applyAlignment="1">
      <alignment vertical="center"/>
    </xf>
    <xf numFmtId="0" fontId="1" fillId="3" borderId="31" xfId="0" applyNumberFormat="1" applyFont="1" applyFill="1" applyBorder="1" applyAlignment="1">
      <alignment vertical="center"/>
    </xf>
    <xf numFmtId="0" fontId="1" fillId="3" borderId="32" xfId="0" applyNumberFormat="1" applyFont="1" applyFill="1" applyBorder="1" applyAlignment="1">
      <alignment vertical="center"/>
    </xf>
    <xf numFmtId="0" fontId="1" fillId="3" borderId="33" xfId="0" applyNumberFormat="1" applyFont="1" applyFill="1" applyBorder="1" applyAlignment="1">
      <alignment vertical="center"/>
    </xf>
    <xf numFmtId="0" fontId="1" fillId="3" borderId="30" xfId="0" applyNumberFormat="1" applyFont="1" applyFill="1" applyBorder="1" applyAlignment="1">
      <alignment horizontal="right" vertical="center"/>
    </xf>
    <xf numFmtId="200" fontId="1" fillId="3" borderId="30" xfId="0" applyNumberFormat="1" applyFont="1" applyFill="1" applyBorder="1" applyAlignment="1">
      <alignment horizontal="right" vertical="center"/>
    </xf>
    <xf numFmtId="0" fontId="1" fillId="3" borderId="31" xfId="0" applyNumberFormat="1" applyFont="1" applyFill="1" applyBorder="1" applyAlignment="1">
      <alignment horizontal="left" vertical="center"/>
    </xf>
    <xf numFmtId="0" fontId="1" fillId="3" borderId="32" xfId="0" applyNumberFormat="1" applyFont="1" applyFill="1" applyBorder="1" applyAlignment="1">
      <alignment horizontal="left" vertical="center"/>
    </xf>
    <xf numFmtId="0" fontId="1" fillId="3" borderId="33" xfId="0" applyNumberFormat="1" applyFont="1" applyFill="1" applyBorder="1" applyAlignment="1">
      <alignment horizontal="left" vertical="center"/>
    </xf>
    <xf numFmtId="0" fontId="1" fillId="2" borderId="30" xfId="0" applyNumberFormat="1" applyFont="1" applyFill="1" applyBorder="1" applyAlignment="1">
      <alignment vertical="center"/>
    </xf>
    <xf numFmtId="200" fontId="1" fillId="2" borderId="30" xfId="0" applyNumberFormat="1" applyFont="1" applyFill="1" applyBorder="1" applyAlignment="1">
      <alignment vertical="center"/>
    </xf>
    <xf numFmtId="0" fontId="1" fillId="2" borderId="31" xfId="0" applyNumberFormat="1" applyFont="1" applyFill="1" applyBorder="1" applyAlignment="1">
      <alignment vertical="center"/>
    </xf>
    <xf numFmtId="0" fontId="1" fillId="2" borderId="32" xfId="0" applyNumberFormat="1" applyFont="1" applyFill="1" applyBorder="1" applyAlignment="1">
      <alignment vertical="center"/>
    </xf>
    <xf numFmtId="0" fontId="1" fillId="2" borderId="33" xfId="0" applyNumberFormat="1" applyFont="1" applyFill="1" applyBorder="1" applyAlignment="1">
      <alignment vertical="center"/>
    </xf>
    <xf numFmtId="0" fontId="1" fillId="2" borderId="30" xfId="0" applyNumberFormat="1" applyFont="1" applyFill="1" applyBorder="1" applyAlignment="1">
      <alignment horizontal="right" vertical="center"/>
    </xf>
    <xf numFmtId="200" fontId="1" fillId="2" borderId="30" xfId="0" applyNumberFormat="1" applyFont="1" applyFill="1" applyBorder="1" applyAlignment="1">
      <alignment horizontal="right" vertical="center"/>
    </xf>
    <xf numFmtId="0" fontId="1" fillId="2" borderId="31" xfId="0" applyNumberFormat="1" applyFont="1" applyFill="1" applyBorder="1" applyAlignment="1">
      <alignment horizontal="left" vertical="center"/>
    </xf>
    <xf numFmtId="0" fontId="1" fillId="2" borderId="32" xfId="0" applyNumberFormat="1" applyFont="1" applyFill="1" applyBorder="1" applyAlignment="1">
      <alignment horizontal="left" vertical="center"/>
    </xf>
    <xf numFmtId="0" fontId="1" fillId="2" borderId="33" xfId="0" applyNumberFormat="1" applyFont="1" applyFill="1" applyBorder="1" applyAlignment="1">
      <alignment horizontal="left" vertical="center"/>
    </xf>
    <xf numFmtId="0" fontId="3" fillId="4" borderId="0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left" vertical="center"/>
    </xf>
    <xf numFmtId="0" fontId="1" fillId="3" borderId="2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/>
    </xf>
    <xf numFmtId="0" fontId="4" fillId="6" borderId="0" xfId="0" applyNumberFormat="1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/>
    </xf>
    <xf numFmtId="205" fontId="1" fillId="3" borderId="4" xfId="0" applyNumberFormat="1" applyFont="1" applyFill="1" applyBorder="1" applyAlignment="1">
      <alignment horizontal="center" vertical="center"/>
    </xf>
    <xf numFmtId="205" fontId="1" fillId="5" borderId="4" xfId="0" applyNumberFormat="1" applyFont="1" applyFill="1" applyBorder="1" applyAlignment="1">
      <alignment vertical="center"/>
    </xf>
    <xf numFmtId="0" fontId="1" fillId="3" borderId="34" xfId="0" applyNumberFormat="1" applyFont="1" applyFill="1" applyBorder="1" applyAlignment="1">
      <alignment horizontal="left" vertical="center"/>
    </xf>
    <xf numFmtId="205" fontId="1" fillId="5" borderId="35" xfId="0" applyNumberFormat="1" applyFont="1" applyFill="1" applyBorder="1" applyAlignment="1">
      <alignment vertical="center"/>
    </xf>
    <xf numFmtId="205" fontId="1" fillId="5" borderId="35" xfId="0" applyNumberFormat="1" applyFont="1" applyFill="1" applyBorder="1" applyAlignment="1">
      <alignment horizontal="right" vertical="center"/>
    </xf>
    <xf numFmtId="0" fontId="3" fillId="4" borderId="36" xfId="0" applyNumberFormat="1" applyFont="1" applyFill="1" applyBorder="1" applyAlignment="1">
      <alignment horizontal="left" vertical="center"/>
    </xf>
    <xf numFmtId="204" fontId="3" fillId="4" borderId="36" xfId="0" applyNumberFormat="1" applyFont="1" applyFill="1" applyBorder="1" applyAlignment="1">
      <alignment horizontal="center" vertical="center"/>
    </xf>
    <xf numFmtId="0" fontId="3" fillId="4" borderId="36" xfId="0" applyNumberFormat="1" applyFont="1" applyFill="1" applyBorder="1" applyAlignment="1">
      <alignment vertical="center"/>
    </xf>
    <xf numFmtId="0" fontId="3" fillId="4" borderId="36" xfId="0" applyNumberFormat="1" applyFont="1" applyFill="1" applyBorder="1" applyAlignment="1">
      <alignment horizontal="left" vertical="center" wrapText="1"/>
    </xf>
    <xf numFmtId="0" fontId="4" fillId="6" borderId="37" xfId="0" applyNumberFormat="1" applyFont="1" applyFill="1" applyBorder="1" applyAlignment="1">
      <alignment horizontal="left" vertical="center"/>
    </xf>
    <xf numFmtId="205" fontId="4" fillId="6" borderId="8" xfId="0" applyNumberFormat="1" applyFont="1" applyFill="1" applyBorder="1" applyAlignment="1">
      <alignment horizontal="center" vertical="center"/>
    </xf>
    <xf numFmtId="205" fontId="4" fillId="6" borderId="38" xfId="0" applyNumberFormat="1" applyFont="1" applyFill="1" applyBorder="1" applyAlignment="1">
      <alignment vertical="center"/>
    </xf>
    <xf numFmtId="0" fontId="4" fillId="6" borderId="37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vertical="center"/>
    </xf>
    <xf numFmtId="0" fontId="1" fillId="2" borderId="10" xfId="0" applyNumberFormat="1" applyFont="1" applyFill="1" applyBorder="1" applyAlignment="1">
      <alignment vertical="center"/>
    </xf>
    <xf numFmtId="201" fontId="1" fillId="3" borderId="10" xfId="0" applyNumberFormat="1" applyFont="1" applyFill="1" applyBorder="1" applyAlignment="1">
      <alignment vertical="center"/>
    </xf>
    <xf numFmtId="201" fontId="1" fillId="3" borderId="11" xfId="0" applyNumberFormat="1" applyFont="1" applyFill="1" applyBorder="1" applyAlignment="1">
      <alignment vertical="center"/>
    </xf>
    <xf numFmtId="0" fontId="1" fillId="2" borderId="12" xfId="0" applyNumberFormat="1" applyFont="1" applyFill="1" applyBorder="1" applyAlignment="1">
      <alignment vertical="center"/>
    </xf>
    <xf numFmtId="201" fontId="1" fillId="3" borderId="13" xfId="0" applyNumberFormat="1" applyFont="1" applyFill="1" applyBorder="1" applyAlignment="1">
      <alignment vertical="center"/>
    </xf>
    <xf numFmtId="201" fontId="1" fillId="5" borderId="13" xfId="0" applyNumberFormat="1" applyFont="1" applyFill="1" applyBorder="1" applyAlignment="1">
      <alignment vertical="center"/>
    </xf>
    <xf numFmtId="202" fontId="1" fillId="5" borderId="13" xfId="0" applyNumberFormat="1" applyFont="1" applyFill="1" applyBorder="1" applyAlignment="1">
      <alignment vertical="center"/>
    </xf>
    <xf numFmtId="0" fontId="1" fillId="2" borderId="14" xfId="0" applyNumberFormat="1" applyFont="1" applyFill="1" applyBorder="1" applyAlignment="1">
      <alignment vertical="center"/>
    </xf>
    <xf numFmtId="0" fontId="1" fillId="2" borderId="15" xfId="0" applyNumberFormat="1" applyFont="1" applyFill="1" applyBorder="1" applyAlignment="1">
      <alignment vertical="center"/>
    </xf>
    <xf numFmtId="202" fontId="1" fillId="5" borderId="15" xfId="0" applyNumberFormat="1" applyFont="1" applyFill="1" applyBorder="1" applyAlignment="1">
      <alignment vertical="center"/>
    </xf>
    <xf numFmtId="202" fontId="1" fillId="5" borderId="16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vertical="center"/>
    </xf>
    <xf numFmtId="0" fontId="1" fillId="2" borderId="40" xfId="0" applyNumberFormat="1" applyFont="1" applyFill="1" applyBorder="1" applyAlignment="1">
      <alignment vertical="center"/>
    </xf>
    <xf numFmtId="0" fontId="1" fillId="2" borderId="41" xfId="0" applyNumberFormat="1" applyFont="1" applyFill="1" applyBorder="1" applyAlignment="1">
      <alignment vertical="center"/>
    </xf>
    <xf numFmtId="0" fontId="1" fillId="2" borderId="39" xfId="0" applyNumberFormat="1" applyFont="1" applyFill="1" applyBorder="1" applyAlignment="1">
      <alignment horizontal="left" vertical="center"/>
    </xf>
    <xf numFmtId="0" fontId="1" fillId="2" borderId="40" xfId="0" applyNumberFormat="1" applyFont="1" applyFill="1" applyBorder="1" applyAlignment="1">
      <alignment horizontal="left" vertical="center"/>
    </xf>
    <xf numFmtId="0" fontId="1" fillId="2" borderId="41" xfId="0" applyNumberFormat="1" applyFont="1" applyFill="1" applyBorder="1" applyAlignment="1">
      <alignment horizontal="left" vertical="center"/>
    </xf>
    <xf numFmtId="201" fontId="1" fillId="3" borderId="40" xfId="0" applyNumberFormat="1" applyFont="1" applyFill="1" applyBorder="1" applyAlignment="1">
      <alignment vertical="center"/>
    </xf>
    <xf numFmtId="201" fontId="1" fillId="3" borderId="41" xfId="0" applyNumberFormat="1" applyFont="1" applyFill="1" applyBorder="1" applyAlignment="1">
      <alignment vertical="center"/>
    </xf>
    <xf numFmtId="201" fontId="1" fillId="3" borderId="40" xfId="0" applyNumberFormat="1" applyFont="1" applyFill="1" applyBorder="1" applyAlignment="1">
      <alignment horizontal="right" vertical="center"/>
    </xf>
    <xf numFmtId="201" fontId="1" fillId="3" borderId="41" xfId="0" applyNumberFormat="1" applyFont="1" applyFill="1" applyBorder="1" applyAlignment="1">
      <alignment horizontal="right" vertical="center"/>
    </xf>
    <xf numFmtId="0" fontId="1" fillId="2" borderId="20" xfId="0" applyNumberFormat="1" applyFont="1" applyFill="1" applyBorder="1" applyAlignment="1">
      <alignment vertical="center"/>
    </xf>
    <xf numFmtId="0" fontId="1" fillId="2" borderId="21" xfId="0" applyNumberFormat="1" applyFont="1" applyFill="1" applyBorder="1" applyAlignment="1">
      <alignment vertical="center"/>
    </xf>
    <xf numFmtId="0" fontId="1" fillId="2" borderId="22" xfId="0" applyNumberFormat="1" applyFont="1" applyFill="1" applyBorder="1" applyAlignment="1">
      <alignment vertical="center"/>
    </xf>
    <xf numFmtId="0" fontId="1" fillId="2" borderId="20" xfId="0" applyNumberFormat="1" applyFont="1" applyFill="1" applyBorder="1" applyAlignment="1">
      <alignment horizontal="left" vertical="center"/>
    </xf>
    <xf numFmtId="0" fontId="1" fillId="2" borderId="22" xfId="0" applyNumberFormat="1" applyFont="1" applyFill="1" applyBorder="1" applyAlignment="1">
      <alignment horizontal="left" vertical="center"/>
    </xf>
    <xf numFmtId="201" fontId="1" fillId="3" borderId="21" xfId="0" applyNumberFormat="1" applyFont="1" applyFill="1" applyBorder="1" applyAlignment="1">
      <alignment vertical="center"/>
    </xf>
    <xf numFmtId="201" fontId="1" fillId="3" borderId="22" xfId="0" applyNumberFormat="1" applyFont="1" applyFill="1" applyBorder="1" applyAlignment="1">
      <alignment vertical="center"/>
    </xf>
    <xf numFmtId="201" fontId="1" fillId="3" borderId="21" xfId="0" applyNumberFormat="1" applyFont="1" applyFill="1" applyBorder="1" applyAlignment="1">
      <alignment horizontal="right" vertical="center"/>
    </xf>
    <xf numFmtId="201" fontId="1" fillId="3" borderId="22" xfId="0" applyNumberFormat="1" applyFont="1" applyFill="1" applyBorder="1" applyAlignment="1">
      <alignment horizontal="right" vertical="center"/>
    </xf>
    <xf numFmtId="201" fontId="1" fillId="5" borderId="21" xfId="0" applyNumberFormat="1" applyFont="1" applyFill="1" applyBorder="1" applyAlignment="1">
      <alignment vertical="center"/>
    </xf>
    <xf numFmtId="201" fontId="1" fillId="5" borderId="22" xfId="0" applyNumberFormat="1" applyFont="1" applyFill="1" applyBorder="1" applyAlignment="1">
      <alignment vertical="center"/>
    </xf>
    <xf numFmtId="201" fontId="1" fillId="5" borderId="21" xfId="0" applyNumberFormat="1" applyFont="1" applyFill="1" applyBorder="1" applyAlignment="1">
      <alignment horizontal="right" vertical="center"/>
    </xf>
    <xf numFmtId="201" fontId="1" fillId="5" borderId="22" xfId="0" applyNumberFormat="1" applyFont="1" applyFill="1" applyBorder="1" applyAlignment="1">
      <alignment horizontal="right" vertical="center"/>
    </xf>
    <xf numFmtId="202" fontId="1" fillId="5" borderId="21" xfId="0" applyNumberFormat="1" applyFont="1" applyFill="1" applyBorder="1" applyAlignment="1">
      <alignment vertical="center"/>
    </xf>
    <xf numFmtId="202" fontId="1" fillId="5" borderId="22" xfId="0" applyNumberFormat="1" applyFont="1" applyFill="1" applyBorder="1" applyAlignment="1">
      <alignment vertical="center"/>
    </xf>
    <xf numFmtId="202" fontId="1" fillId="5" borderId="21" xfId="0" applyNumberFormat="1" applyFont="1" applyFill="1" applyBorder="1" applyAlignment="1">
      <alignment horizontal="right" vertical="center"/>
    </xf>
    <xf numFmtId="202" fontId="1" fillId="5" borderId="22" xfId="0" applyNumberFormat="1" applyFont="1" applyFill="1" applyBorder="1" applyAlignment="1">
      <alignment horizontal="right" vertical="center"/>
    </xf>
    <xf numFmtId="201" fontId="1" fillId="5" borderId="10" xfId="0" applyNumberFormat="1" applyFont="1" applyFill="1" applyBorder="1" applyAlignment="1">
      <alignment vertical="center"/>
    </xf>
    <xf numFmtId="201" fontId="1" fillId="5" borderId="11" xfId="0" applyNumberFormat="1" applyFont="1" applyFill="1" applyBorder="1" applyAlignment="1">
      <alignment vertical="center"/>
    </xf>
    <xf numFmtId="201" fontId="1" fillId="5" borderId="15" xfId="0" applyNumberFormat="1" applyFont="1" applyFill="1" applyBorder="1" applyAlignment="1">
      <alignment vertical="center"/>
    </xf>
    <xf numFmtId="201" fontId="1" fillId="5" borderId="16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vertical="center"/>
    </xf>
    <xf numFmtId="201" fontId="1" fillId="5" borderId="41" xfId="0" applyNumberFormat="1" applyFont="1" applyFill="1" applyBorder="1" applyAlignment="1">
      <alignment vertical="center"/>
    </xf>
    <xf numFmtId="201" fontId="1" fillId="5" borderId="40" xfId="0" applyNumberFormat="1" applyFont="1" applyFill="1" applyBorder="1" applyAlignment="1">
      <alignment horizontal="right" vertical="center"/>
    </xf>
    <xf numFmtId="201" fontId="1" fillId="5" borderId="41" xfId="0" applyNumberFormat="1" applyFont="1" applyFill="1" applyBorder="1" applyAlignment="1">
      <alignment horizontal="right" vertical="center"/>
    </xf>
    <xf numFmtId="0" fontId="7" fillId="5" borderId="0" xfId="0" applyNumberFormat="1" applyFont="1" applyFill="1" applyBorder="1" applyAlignment="1">
      <alignment horizontal="left" vertical="center"/>
    </xf>
    <xf numFmtId="0" fontId="1" fillId="5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 vertical="center" wrapText="1"/>
    </xf>
    <xf numFmtId="0" fontId="7" fillId="5" borderId="4" xfId="0" applyNumberFormat="1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left" vertical="center"/>
    </xf>
    <xf numFmtId="0" fontId="1" fillId="3" borderId="30" xfId="0" applyNumberFormat="1" applyFont="1" applyFill="1" applyBorder="1" applyAlignment="1">
      <alignment horizontal="right" vertical="center" indent="1"/>
    </xf>
    <xf numFmtId="0" fontId="1" fillId="3" borderId="31" xfId="0" applyNumberFormat="1" applyFont="1" applyFill="1" applyBorder="1" applyAlignment="1">
      <alignment horizontal="left" vertical="center" indent="1"/>
    </xf>
    <xf numFmtId="0" fontId="1" fillId="3" borderId="32" xfId="0" applyNumberFormat="1" applyFont="1" applyFill="1" applyBorder="1" applyAlignment="1">
      <alignment horizontal="left" vertical="center" indent="1"/>
    </xf>
    <xf numFmtId="0" fontId="1" fillId="3" borderId="33" xfId="0" applyNumberFormat="1" applyFont="1" applyFill="1" applyBorder="1" applyAlignment="1">
      <alignment horizontal="left" vertical="center" indent="1"/>
    </xf>
    <xf numFmtId="200" fontId="1" fillId="3" borderId="30" xfId="0" applyNumberFormat="1" applyFont="1" applyFill="1" applyBorder="1" applyAlignment="1">
      <alignment horizontal="right" vertical="center" indent="1"/>
    </xf>
    <xf numFmtId="0" fontId="3" fillId="4" borderId="5" xfId="0" applyNumberFormat="1" applyFont="1" applyFill="1" applyBorder="1" applyAlignment="1">
      <alignment horizontal="left" vertical="center" indent="1"/>
    </xf>
    <xf numFmtId="0" fontId="1" fillId="2" borderId="4" xfId="0" applyNumberFormat="1" applyFont="1" applyFill="1" applyBorder="1" applyAlignment="1">
      <alignment horizontal="left" vertical="center" indent="1"/>
    </xf>
    <xf numFmtId="0" fontId="1" fillId="2" borderId="8" xfId="0" applyNumberFormat="1" applyFont="1" applyFill="1" applyBorder="1" applyAlignment="1">
      <alignment horizontal="left" vertical="center" indent="1"/>
    </xf>
    <xf numFmtId="0" fontId="1" fillId="2" borderId="21" xfId="0" applyNumberFormat="1" applyFont="1" applyFill="1" applyBorder="1" applyAlignment="1">
      <alignment horizontal="left" vertical="center" indent="1"/>
    </xf>
    <xf numFmtId="0" fontId="1" fillId="2" borderId="28" xfId="0" applyNumberFormat="1" applyFont="1" applyFill="1" applyBorder="1" applyAlignment="1">
      <alignment horizontal="left" vertical="center" indent="1"/>
    </xf>
    <xf numFmtId="0" fontId="1" fillId="2" borderId="29" xfId="0" applyNumberFormat="1" applyFont="1" applyFill="1" applyBorder="1" applyAlignment="1">
      <alignment horizontal="left" vertical="center" indent="1"/>
    </xf>
    <xf numFmtId="0" fontId="1" fillId="2" borderId="30" xfId="0" applyNumberFormat="1" applyFont="1" applyFill="1" applyBorder="1" applyAlignment="1">
      <alignment horizontal="right" vertical="center" indent="1"/>
    </xf>
    <xf numFmtId="0" fontId="1" fillId="2" borderId="31" xfId="0" applyNumberFormat="1" applyFont="1" applyFill="1" applyBorder="1" applyAlignment="1">
      <alignment horizontal="left" vertical="center" indent="1"/>
    </xf>
    <xf numFmtId="0" fontId="1" fillId="2" borderId="32" xfId="0" applyNumberFormat="1" applyFont="1" applyFill="1" applyBorder="1" applyAlignment="1">
      <alignment horizontal="left" vertical="center" indent="1"/>
    </xf>
    <xf numFmtId="0" fontId="1" fillId="2" borderId="33" xfId="0" applyNumberFormat="1" applyFont="1" applyFill="1" applyBorder="1" applyAlignment="1">
      <alignment horizontal="left" vertical="center" indent="1"/>
    </xf>
    <xf numFmtId="200" fontId="1" fillId="2" borderId="30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wrapText="1" indent="1"/>
    </xf>
    <xf numFmtId="0" fontId="3" fillId="4" borderId="36" xfId="0" applyNumberFormat="1" applyFont="1" applyFill="1" applyBorder="1" applyAlignment="1">
      <alignment vertical="center" horizontal="left" indent="1"/>
    </xf>
    <xf numFmtId="0" fontId="1" fillId="3" borderId="34" xfId="0" applyNumberFormat="1" applyFont="1" applyFill="1" applyBorder="1" applyAlignment="1">
      <alignment horizontal="left" vertical="center" indent="1"/>
    </xf>
    <xf numFmtId="205" fontId="1" fillId="5" borderId="35" xfId="0" applyNumberFormat="1" applyFont="1" applyFill="1" applyBorder="1" applyAlignment="1">
      <alignment horizontal="right" vertical="center" indent="1"/>
    </xf>
    <xf numFmtId="0" fontId="4" fillId="6" borderId="37" xfId="0" applyNumberFormat="1" applyFont="1" applyFill="1" applyBorder="1" applyAlignment="1">
      <alignment horizontal="left" vertical="center" wrapText="1" indent="1"/>
    </xf>
    <xf numFmtId="205" fontId="4" fillId="6" borderId="38" xfId="0" applyNumberFormat="1" applyFont="1" applyFill="1" applyBorder="1" applyAlignment="1">
      <alignment vertical="center" horizontal="right" indent="1"/>
    </xf>
    <xf numFmtId="0" fontId="1" fillId="2" borderId="39" xfId="0" applyNumberFormat="1" applyFont="1" applyFill="1" applyBorder="1" applyAlignment="1">
      <alignment horizontal="left" vertical="center" indent="1"/>
    </xf>
    <xf numFmtId="0" fontId="1" fillId="2" borderId="40" xfId="0" applyNumberFormat="1" applyFont="1" applyFill="1" applyBorder="1" applyAlignment="1">
      <alignment horizontal="left" vertical="center" indent="1"/>
    </xf>
    <xf numFmtId="0" fontId="1" fillId="2" borderId="41" xfId="0" applyNumberFormat="1" applyFont="1" applyFill="1" applyBorder="1" applyAlignment="1">
      <alignment horizontal="left" vertical="center" indent="1"/>
    </xf>
    <xf numFmtId="201" fontId="1" fillId="3" borderId="40" xfId="0" applyNumberFormat="1" applyFont="1" applyFill="1" applyBorder="1" applyAlignment="1">
      <alignment horizontal="right" vertical="center" indent="1"/>
    </xf>
    <xf numFmtId="201" fontId="1" fillId="3" borderId="41" xfId="0" applyNumberFormat="1" applyFont="1" applyFill="1" applyBorder="1" applyAlignment="1">
      <alignment horizontal="right" vertical="center" indent="1"/>
    </xf>
    <xf numFmtId="201" fontId="1" fillId="5" borderId="40" xfId="0" applyNumberFormat="1" applyFont="1" applyFill="1" applyBorder="1" applyAlignment="1">
      <alignment horizontal="right" vertical="center" indent="1"/>
    </xf>
    <xf numFmtId="201" fontId="1" fillId="5" borderId="41" xfId="0" applyNumberFormat="1" applyFont="1" applyFill="1" applyBorder="1" applyAlignment="1">
      <alignment horizontal="right" vertical="center" indent="1"/>
    </xf>
    <xf numFmtId="0" fontId="1" fillId="2" borderId="20" xfId="0" applyNumberFormat="1" applyFont="1" applyFill="1" applyBorder="1" applyAlignment="1">
      <alignment horizontal="left" vertical="center" indent="1"/>
    </xf>
    <xf numFmtId="0" fontId="1" fillId="2" borderId="22" xfId="0" applyNumberFormat="1" applyFont="1" applyFill="1" applyBorder="1" applyAlignment="1">
      <alignment horizontal="left" vertical="center" indent="1"/>
    </xf>
    <xf numFmtId="201" fontId="1" fillId="3" borderId="21" xfId="0" applyNumberFormat="1" applyFont="1" applyFill="1" applyBorder="1" applyAlignment="1">
      <alignment horizontal="right" vertical="center" indent="1"/>
    </xf>
    <xf numFmtId="201" fontId="1" fillId="3" borderId="22" xfId="0" applyNumberFormat="1" applyFont="1" applyFill="1" applyBorder="1" applyAlignment="1">
      <alignment horizontal="right" vertical="center" indent="1"/>
    </xf>
    <xf numFmtId="201" fontId="1" fillId="5" borderId="21" xfId="0" applyNumberFormat="1" applyFont="1" applyFill="1" applyBorder="1" applyAlignment="1">
      <alignment horizontal="right" vertical="center" indent="1"/>
    </xf>
    <xf numFmtId="201" fontId="1" fillId="5" borderId="22" xfId="0" applyNumberFormat="1" applyFont="1" applyFill="1" applyBorder="1" applyAlignment="1">
      <alignment horizontal="right" vertical="center" indent="1"/>
    </xf>
    <xf numFmtId="202" fontId="1" fillId="5" borderId="21" xfId="0" applyNumberFormat="1" applyFont="1" applyFill="1" applyBorder="1" applyAlignment="1">
      <alignment horizontal="right" vertical="center" indent="1"/>
    </xf>
    <xf numFmtId="202" fontId="1" fillId="5" borderId="22" xfId="0" applyNumberFormat="1" applyFont="1" applyFill="1" applyBorder="1" applyAlignment="1">
      <alignment horizontal="right" vertical="center" indent="1"/>
    </xf>
    <xf numFmtId="0" fontId="3" fillId="4" borderId="36" xfId="0" applyNumberFormat="1" applyFont="1" applyFill="1" applyBorder="1" applyAlignment="1">
      <alignment horizontal="left" vertical="center" indent="1"/>
    </xf>
    <xf numFmtId="0" fontId="7" fillId="5" borderId="4" xfId="0" applyNumberFormat="1" applyFont="1" applyFill="1" applyBorder="1" applyAlignment="1">
      <alignment horizontal="left" vertical="center" indent="1"/>
    </xf>
    <xf numFmtId="0" fontId="1" fillId="5" borderId="4" xfId="0" applyNumberFormat="1" applyFont="1" applyFill="1" applyBorder="1" applyAlignment="1">
      <alignment horizontal="left" vertical="center" indent="1"/>
    </xf>
  </cellXfs>
  <cellStyles count="1">
    <cellStyle name="Normal" xfId="0"/>
  </cellStyles>
  <dxfs count="196"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color rgb="FF646A79"/>
      </font>
      <fill>
        <patternFill>
          <bgColor rgb="FFE6E8EC"/>
        </patternFill>
      </fill>
    </dxf>
    <dxf>
      <font>
        <color rgb="FF873725"/>
      </font>
      <fill>
        <patternFill>
          <bgColor rgb="FFFFE2D8"/>
        </patternFill>
      </fill>
    </dxf>
    <dxf>
      <font>
        <b/>
      </font>
      <fill>
        <patternFill>
          <bgColor rgb="FFD8EFE4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  <dxf>
      <font>
        <b/>
        <color rgb="FF873725"/>
      </font>
      <fill>
        <patternFill>
          <bgColor rgb="FFFFE2D8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d617f716743f2" /><Relationship Type="http://schemas.openxmlformats.org/officeDocument/2006/relationships/theme" Target="/xl/theme/theme1.xml" Id="R7c5304c1a80548b8" /><Relationship Type="http://schemas.openxmlformats.org/officeDocument/2006/relationships/sharedStrings" Target="/xl/sharedStrings.xml" Id="R843d2837bf4443ad" /><Relationship Type="http://schemas.openxmlformats.org/officeDocument/2006/relationships/worksheet" Target="/xl/worksheets/sheet1.xml" Id="R13627a59885a4a94" /><Relationship Type="http://schemas.openxmlformats.org/officeDocument/2006/relationships/worksheet" Target="/xl/worksheets/sheet2.xml" Id="R7113655bd47546f5" /><Relationship Type="http://schemas.openxmlformats.org/officeDocument/2006/relationships/worksheet" Target="/xl/worksheets/sheet3.xml" Id="Rb07383542a2b48a2" /><Relationship Type="http://schemas.openxmlformats.org/officeDocument/2006/relationships/worksheet" Target="/xl/worksheets/sheet4.xml" Id="Rf9be19a4660f47a3" /><Relationship Type="http://schemas.openxmlformats.org/officeDocument/2006/relationships/worksheet" Target="/xl/worksheets/sheet5.xml" Id="Rfe214e1af471417a" /><Relationship Type="http://schemas.openxmlformats.org/officeDocument/2006/relationships/worksheet" Target="/xl/worksheets/sheet6.xml" Id="R9e34234df4e34ad6" /><Relationship Type="http://schemas.openxmlformats.org/officeDocument/2006/relationships/worksheet" Target="/xl/worksheets/sheet7.xml" Id="R3011fe2522b14b83" /><Relationship Type="http://schemas.openxmlformats.org/officeDocument/2006/relationships/worksheet" Target="/xl/worksheets/sheet8.xml" Id="R81ebbe1c90814d81" /><Relationship Type="http://schemas.openxmlformats.org/officeDocument/2006/relationships/worksheet" Target="/xl/worksheets/sheet9.xml" Id="R49e378f5f91b4b44" /><Relationship Type="http://schemas.openxmlformats.org/officeDocument/2006/relationships/worksheet" Target="/xl/worksheets/sheet10.xml" Id="R09b0c093d2b340e6" /><Relationship Type="http://schemas.openxmlformats.org/officeDocument/2006/relationships/worksheet" Target="/xl/worksheets/sheet11.xml" Id="Rdaf96f4ed5d047b1" /><Relationship Type="http://schemas.openxmlformats.org/officeDocument/2006/relationships/worksheet" Target="/xl/worksheets/sheet12.xml" Id="Rb3069fa726eb410f" /><Relationship Type="http://schemas.openxmlformats.org/officeDocument/2006/relationships/worksheet" Target="/xl/worksheets/sheet13.xml" Id="R47230071c73b4d7d" /><Relationship Type="http://schemas.openxmlformats.org/officeDocument/2006/relationships/worksheet" Target="/xl/worksheets/sheet14.xml" Id="Rbdf7b2312c3c4539" /><Relationship Type="http://schemas.openxmlformats.org/officeDocument/2006/relationships/worksheet" Target="/xl/worksheets/sheet15.xml" Id="R4a7ebd9cb8a146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006053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Billable utilisation tracker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01" t="n">
        <v>2026</v>
      </c>
      <c r="D4" s="3"/>
      <c r="E4" s="3" t="str">
        <v>Name</v>
      </c>
      <c r="F4" s="202" t="str">
        <v>Enter your name</v>
      </c>
      <c r="G4" s="203"/>
      <c r="H4" s="203"/>
      <c r="I4" s="203"/>
      <c r="J4" s="204"/>
      <c r="K4" s="3"/>
      <c r="L4" s="3" t="str">
        <v>Target</v>
      </c>
      <c r="M4" s="3"/>
      <c r="N4" s="205" t="n">
        <v>0.75</v>
      </c>
      <c r="O4" s="3"/>
      <c r="P4" s="3"/>
      <c r="Q4" s="55"/>
    </row>
    <row r="5" ht="23" customHeight="1">
      <c r="A5" s="3"/>
      <c r="B5" s="3" t="str">
        <v>Hours per working day</v>
      </c>
      <c r="C5" s="201" t="n">
        <v>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Billable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Billable hours</v>
      </c>
      <c r="C12" s="59" t="str">
        <f>IF(OR(C10="Not started",C17&lt;&gt;"OK"),"",'Jan'!I42)</f>
      </c>
      <c r="D12" s="59" t="str">
        <f>IF(OR(D10="Not started",D17&lt;&gt;"OK"),"",'Feb'!I42)</f>
      </c>
      <c r="E12" s="59" t="str">
        <f>IF(OR(E10="Not started",E17&lt;&gt;"OK"),"",'Mar'!I42)</f>
      </c>
      <c r="F12" s="59" t="str">
        <f>IF(OR(F10="Not started",F17&lt;&gt;"OK"),"",'Apr'!I42)</f>
      </c>
      <c r="G12" s="59" t="str">
        <f>IF(OR(G10="Not started",G17&lt;&gt;"OK"),"",'May'!I42)</f>
      </c>
      <c r="H12" s="59" t="str">
        <f>IF(OR(H10="Not started",H17&lt;&gt;"OK"),"",'Jun'!I42)</f>
      </c>
      <c r="I12" s="59" t="str">
        <f>IF(OR(I10="Not started",I17&lt;&gt;"OK"),"",'Jul'!I42)</f>
      </c>
      <c r="J12" s="59" t="str">
        <f>IF(OR(J10="Not started",J17&lt;&gt;"OK"),"",'Aug'!I42)</f>
      </c>
      <c r="K12" s="59" t="str">
        <f>IF(OR(K10="Not started",K17&lt;&gt;"OK"),"",'Sep'!I42)</f>
      </c>
      <c r="L12" s="59" t="str">
        <f>IF(OR(L10="Not started",L17&lt;&gt;"OK"),"",'Oct'!I42)</f>
      </c>
      <c r="M12" s="59" t="str">
        <f>IF(OR(M10="Not started",M17&lt;&gt;"OK"),"",'Nov'!I42)</f>
      </c>
      <c r="N12" s="59" t="str">
        <f>IF(OR(N10="Not started",N17&lt;&gt;"OK"),"",'Dec'!I42)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started",C17&lt;&gt;"OK"),"",'Jan'!I43)</f>
      </c>
      <c r="D14" s="71" t="str">
        <f>IF(OR(D10="Not started",D17&lt;&gt;"OK"),"",'Feb'!I43)</f>
      </c>
      <c r="E14" s="71" t="str">
        <f>IF(OR(E10="Not started",E17&lt;&gt;"OK"),"",'Mar'!I43)</f>
      </c>
      <c r="F14" s="71" t="str">
        <f>IF(OR(F10="Not started",F17&lt;&gt;"OK"),"",'Apr'!I43)</f>
      </c>
      <c r="G14" s="71" t="str">
        <f>IF(OR(G10="Not started",G17&lt;&gt;"OK"),"",'May'!I43)</f>
      </c>
      <c r="H14" s="71" t="str">
        <f>IF(OR(H10="Not started",H17&lt;&gt;"OK"),"",'Jun'!I43)</f>
      </c>
      <c r="I14" s="71" t="str">
        <f>IF(OR(I10="Not started",I17&lt;&gt;"OK"),"",'Jul'!I43)</f>
      </c>
      <c r="J14" s="71" t="str">
        <f>IF(OR(J10="Not started",J17&lt;&gt;"OK"),"",'Aug'!I43)</f>
      </c>
      <c r="K14" s="71" t="str">
        <f>IF(OR(K10="Not started",K17&lt;&gt;"OK"),"",'Sep'!I43)</f>
      </c>
      <c r="L14" s="71" t="str">
        <f>IF(OR(L10="Not started",L17&lt;&gt;"OK"),"",'Oct'!I43)</f>
      </c>
      <c r="M14" s="71" t="str">
        <f>IF(OR(M10="Not started",M17&lt;&gt;"OK"),"",'Nov'!I43)</f>
      </c>
      <c r="N14" s="71" t="str">
        <f>IF(OR(N10="Not started",N17&lt;&gt;"OK"),"",'Dec'!I43)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started",C17&lt;&gt;"OK"),"",'Jan'!I45)</f>
      </c>
      <c r="D15" s="60" t="str">
        <f>IF(OR(D10="Not started",D17&lt;&gt;"OK"),"",'Feb'!I45)</f>
      </c>
      <c r="E15" s="60" t="str">
        <f>IF(OR(E10="Not started",E17&lt;&gt;"OK"),"",'Mar'!I45)</f>
      </c>
      <c r="F15" s="60" t="str">
        <f>IF(OR(F10="Not started",F17&lt;&gt;"OK"),"",'Apr'!I45)</f>
      </c>
      <c r="G15" s="60" t="str">
        <f>IF(OR(G10="Not started",G17&lt;&gt;"OK"),"",'May'!I45)</f>
      </c>
      <c r="H15" s="60" t="str">
        <f>IF(OR(H10="Not started",H17&lt;&gt;"OK"),"",'Jun'!I45)</f>
      </c>
      <c r="I15" s="60" t="str">
        <f>IF(OR(I10="Not started",I17&lt;&gt;"OK"),"",'Jul'!I45)</f>
      </c>
      <c r="J15" s="60" t="str">
        <f>IF(OR(J10="Not started",J17&lt;&gt;"OK"),"",'Aug'!I45)</f>
      </c>
      <c r="K15" s="60" t="str">
        <f>IF(OR(K10="Not started",K17&lt;&gt;"OK"),"",'Sep'!I45)</f>
      </c>
      <c r="L15" s="60" t="str">
        <f>IF(OR(L10="Not started",L17&lt;&gt;"OK"),"",'Oct'!I45)</f>
      </c>
      <c r="M15" s="60" t="str">
        <f>IF(OR(M10="Not started",M17&lt;&gt;"OK"),"",'Nov'!I45)</f>
      </c>
      <c r="N15" s="60" t="str">
        <f>IF(OR(N10="Not started",N17&lt;&gt;"OK"),"",'Dec'!I45)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started",C17&lt;&gt;"OK"),"",'Jan'!U45)</f>
      </c>
      <c r="D16" s="59" t="str">
        <f>IF(OR(D10="Not started",D17&lt;&gt;"OK"),"",'Feb'!U45)</f>
      </c>
      <c r="E16" s="59" t="str">
        <f>IF(OR(E10="Not started",E17&lt;&gt;"OK"),"",'Mar'!U45)</f>
      </c>
      <c r="F16" s="59" t="str">
        <f>IF(OR(F10="Not started",F17&lt;&gt;"OK"),"",'Apr'!U45)</f>
      </c>
      <c r="G16" s="59" t="str">
        <f>IF(OR(G10="Not started",G17&lt;&gt;"OK"),"",'May'!U45)</f>
      </c>
      <c r="H16" s="59" t="str">
        <f>IF(OR(H10="Not started",H17&lt;&gt;"OK"),"",'Jun'!U45)</f>
      </c>
      <c r="I16" s="59" t="str">
        <f>IF(OR(I10="Not started",I17&lt;&gt;"OK"),"",'Jul'!U45)</f>
      </c>
      <c r="J16" s="59" t="str">
        <f>IF(OR(J10="Not started",J17&lt;&gt;"OK"),"",'Aug'!U45)</f>
      </c>
      <c r="K16" s="59" t="str">
        <f>IF(OR(K10="Not started",K17&lt;&gt;"OK"),"",'Sep'!U45)</f>
      </c>
      <c r="L16" s="59" t="str">
        <f>IF(OR(L10="Not started",L17&lt;&gt;"OK"),"",'Oct'!U45)</f>
      </c>
      <c r="M16" s="59" t="str">
        <f>IF(OR(M10="Not started",M17&lt;&gt;"OK"),"",'Nov'!U45)</f>
      </c>
      <c r="N16" s="59" t="str">
        <f>IF(OR(N10="Not started",N17&lt;&gt;"OK"),"",'Dec'!U45)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Billable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1. Enter your name, year and daily working hours above. Each person uses their own copy, with a default billable target of 75%.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2. Open a month. Enter customer/project names and hours in the day grid. Set its status to Actual or Forecast when it is ready to report.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 t="str">
        <v>3. Enter company holiday and PTO days below that month’s grid. Fractional days are allowed. Do not count the same absence twice.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4. Keep billable work, concessions/work at risk and overruns in their separate sections. An hour should appear only once.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 t="str">
        <v>Available hours = (scheduled workdays − company holiday days − PTO days) × daily hours. Default workdays are Monday to Friday.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 t="str">
        <v>Quarterly and yearly utilisation = total reported hours ÷ total available hours for the included months. Percentages are not averaged.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 t="str">
        <v>Start a fresh copy for a new year. Changing the year updates dates but does not clear hours. Scheduled workdays can be adjusted on each month.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2:P32"/>
    <mergeCell ref="B33:P33"/>
    <mergeCell ref="B35:P35"/>
    <mergeCell ref="B36:P36"/>
    <mergeCell ref="B37:P37"/>
  </mergeCells>
  <conditionalFormatting sqref="C14:N14">
    <cfRule type="expression" dxfId="0" priority="1">
      <formula>AND(ISNUMBER(C14),C14&gt;=C13)</formula>
    </cfRule>
    <cfRule type="expression" dxfId="1" priority="2">
      <formula>AND(ISNUMBER(C14),C14&lt;C13)</formula>
    </cfRule>
  </conditionalFormatting>
  <conditionalFormatting sqref="C17:N17">
    <cfRule type="containsText" dxfId="2" priority="3" operator="containsText" text="Check"/>
    <cfRule type="containsText" dxfId="3" priority="4" operator="containsText" text="Invalid"/>
    <cfRule type="containsText" dxfId="4" priority="5" operator="containsText" text="Negative"/>
    <cfRule type="containsText" dxfId="5" priority="6" operator="containsText" text="Outside"/>
  </conditionalFormatting>
  <conditionalFormatting sqref="C27:E27">
    <cfRule type="containsText" dxfId="6" priority="7" operator="containsText" text="Check"/>
    <cfRule type="containsText" dxfId="7" priority="8" operator="containsText" text="Invalid"/>
    <cfRule type="containsText" dxfId="8" priority="9" operator="containsText" text="Negative"/>
    <cfRule type="containsText" dxfId="9" priority="10" operator="containsText" text="Outside"/>
  </conditionalFormatting>
  <conditionalFormatting sqref="F27:H27">
    <cfRule type="containsText" dxfId="10" priority="11" operator="containsText" text="Check"/>
    <cfRule type="containsText" dxfId="11" priority="12" operator="containsText" text="Invalid"/>
    <cfRule type="containsText" dxfId="12" priority="13" operator="containsText" text="Negative"/>
    <cfRule type="containsText" dxfId="13" priority="14" operator="containsText" text="Outside"/>
  </conditionalFormatting>
  <conditionalFormatting sqref="I27:K27">
    <cfRule type="containsText" dxfId="14" priority="15" operator="containsText" text="Check"/>
    <cfRule type="containsText" dxfId="15" priority="16" operator="containsText" text="Invalid"/>
    <cfRule type="containsText" dxfId="16" priority="17" operator="containsText" text="Negative"/>
    <cfRule type="containsText" dxfId="17" priority="18" operator="containsText" text="Outside"/>
  </conditionalFormatting>
  <conditionalFormatting sqref="L27:N27">
    <cfRule type="containsText" dxfId="18" priority="19" operator="containsText" text="Check"/>
    <cfRule type="containsText" dxfId="19" priority="20" operator="containsText" text="Invalid"/>
    <cfRule type="containsText" dxfId="20" priority="21" operator="containsText" text="Negative"/>
    <cfRule type="containsText" dxfId="21" priority="22" operator="containsText" text="Outside"/>
  </conditionalFormatting>
  <conditionalFormatting sqref="P27:P27">
    <cfRule type="containsText" dxfId="22" priority="23" operator="containsText" text="Check"/>
    <cfRule type="containsText" dxfId="23" priority="24" operator="containsText" text="Invalid"/>
    <cfRule type="containsText" dxfId="24" priority="25" operator="containsText" text="Negative"/>
    <cfRule type="containsText" dxfId="25" priority="26" operator="containsText" text="Outside"/>
  </conditionalFormatting>
  <dataValidations count="3">
    <dataValidation type="decimal" operator="between" sqref="C5">
      <formula1>0.01</formula1>
      <formula2>24</formula2>
    </dataValidation>
    <dataValidation type="decimal" operator="between" sqref="N4">
      <formula1>0.01</formula1>
      <formula2>1</formula2>
    </dataValidation>
    <dataValidation type="whole" operator="between" sqref="C4">
      <formula1>2000</formula1>
      <formula2>2100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006053"/>
  </sheetPr>
  <sheetViews>
    <sheetView showGridLines="0" workbookViewId="0"/>
  </sheetViews>
  <sheetFormatPr defaultRowHeight="15"/>
  <cols>
    <col min="1" max="1" width="3" hidden="0" customWidth="1"/>
    <col min="2" max="2" width="29" hidden="0" customWidth="1"/>
    <col min="3" max="3" width="10.5" hidden="0" customWidth="1"/>
    <col min="4" max="4" width="10.5" hidden="0" customWidth="1"/>
    <col min="5" max="5" width="10.5" hidden="0" customWidth="1"/>
    <col min="6" max="6" width="10.5" hidden="0" customWidth="1"/>
    <col min="7" max="7" width="10.5" hidden="0" customWidth="1"/>
    <col min="8" max="8" width="10.5" hidden="0" customWidth="1"/>
    <col min="9" max="9" width="10.5" hidden="0" customWidth="1"/>
    <col min="10" max="10" width="10.5" hidden="0" customWidth="1"/>
    <col min="11" max="11" width="10.5" hidden="0" customWidth="1"/>
    <col min="12" max="12" width="10.5" hidden="0" customWidth="1"/>
    <col min="13" max="13" width="10.5" hidden="0" customWidth="1"/>
    <col min="14" max="14" width="10.5" hidden="0" customWidth="1"/>
    <col min="15" max="15" width="3" hidden="0" customWidth="1"/>
    <col min="16" max="16" width="15" hidden="0" customWidth="1"/>
    <col min="17" max="17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5"/>
    </row>
    <row r="2" ht="34" customHeight="1">
      <c r="A2" s="3"/>
      <c r="B2" s="4" t="str">
        <v>MBO utilisation summary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5"/>
    </row>
    <row r="3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5"/>
    </row>
    <row r="4" ht="23" customHeight="1">
      <c r="A4" s="3"/>
      <c r="B4" s="3" t="str">
        <v>Year</v>
      </c>
      <c r="C4" s="212" t="n">
        <f>'Billable summary'!C4</f>
        <v>2026</v>
      </c>
      <c r="D4" s="3"/>
      <c r="E4" s="3" t="str">
        <v>Name</v>
      </c>
      <c r="F4" s="213" t="str">
        <f>'Billable summary'!F4</f>
        <v>Enter your name</v>
      </c>
      <c r="G4" s="214"/>
      <c r="H4" s="214"/>
      <c r="I4" s="214"/>
      <c r="J4" s="215"/>
      <c r="K4" s="3"/>
      <c r="L4" s="3" t="str">
        <v>Target</v>
      </c>
      <c r="M4" s="3"/>
      <c r="N4" s="216" t="n">
        <f>'Billable summary'!N4</f>
        <v>0.75</v>
      </c>
      <c r="O4" s="3"/>
      <c r="P4" s="3"/>
      <c r="Q4" s="55"/>
    </row>
    <row r="5" ht="23" customHeight="1">
      <c r="A5" s="3"/>
      <c r="B5" s="3" t="str">
        <v>MBO hours include billable work, concessions, work at risk and project overruns.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5"/>
    </row>
    <row r="6" ht="2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55"/>
    </row>
    <row r="7" ht="23" customHeight="1">
      <c r="A7" s="3"/>
      <c r="B7" s="3" t="str">
        <v>Monthly results include months marked Actual or Forecast. Not started months stay blank. Use the status row to distinguish them.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55"/>
    </row>
    <row r="8" ht="23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5"/>
    </row>
    <row r="9" ht="28" customHeight="1">
      <c r="A9" s="3"/>
      <c r="B9" s="206" t="str">
        <v>MBO results</v>
      </c>
      <c r="C9" s="68" t="str">
        <v>Jan</v>
      </c>
      <c r="D9" s="68" t="str">
        <v>Feb</v>
      </c>
      <c r="E9" s="68" t="str">
        <v>Mar</v>
      </c>
      <c r="F9" s="68" t="str">
        <v>Apr</v>
      </c>
      <c r="G9" s="68" t="str">
        <v>May</v>
      </c>
      <c r="H9" s="68" t="str">
        <v>Jun</v>
      </c>
      <c r="I9" s="68" t="str">
        <v>Jul</v>
      </c>
      <c r="J9" s="68" t="str">
        <v>Aug</v>
      </c>
      <c r="K9" s="68" t="str">
        <v>Sep</v>
      </c>
      <c r="L9" s="68" t="str">
        <v>Oct</v>
      </c>
      <c r="M9" s="68" t="str">
        <v>Nov</v>
      </c>
      <c r="N9" s="69" t="str">
        <v>Dec</v>
      </c>
      <c r="O9" s="3"/>
      <c r="P9" s="3"/>
      <c r="Q9" s="55"/>
    </row>
    <row r="10" ht="23" customHeight="1">
      <c r="A10" s="3"/>
      <c r="B10" s="207" t="str">
        <v>Month status</v>
      </c>
      <c r="C10" s="58" t="str">
        <f>'Jan'!C2</f>
        <v>Not started</v>
      </c>
      <c r="D10" s="58" t="str">
        <f>'Feb'!C2</f>
        <v>Not started</v>
      </c>
      <c r="E10" s="58" t="str">
        <f>'Mar'!C2</f>
        <v>Not started</v>
      </c>
      <c r="F10" s="58" t="str">
        <f>'Apr'!C2</f>
        <v>Not started</v>
      </c>
      <c r="G10" s="58" t="str">
        <f>'May'!C2</f>
        <v>Not started</v>
      </c>
      <c r="H10" s="58" t="str">
        <f>'Jun'!C2</f>
        <v>Not started</v>
      </c>
      <c r="I10" s="58" t="str">
        <f>'Jul'!C2</f>
        <v>Not started</v>
      </c>
      <c r="J10" s="58" t="str">
        <f>'Aug'!C2</f>
        <v>Not started</v>
      </c>
      <c r="K10" s="58" t="str">
        <f>'Sep'!C2</f>
        <v>Not started</v>
      </c>
      <c r="L10" s="58" t="str">
        <f>'Oct'!C2</f>
        <v>Not started</v>
      </c>
      <c r="M10" s="58" t="str">
        <f>'Nov'!C2</f>
        <v>Not started</v>
      </c>
      <c r="N10" s="58" t="str">
        <f>'Dec'!C2</f>
        <v>Not started</v>
      </c>
      <c r="O10" s="3"/>
      <c r="P10" s="3"/>
      <c r="Q10" s="55"/>
    </row>
    <row r="11" ht="23" customHeight="1">
      <c r="A11" s="3"/>
      <c r="B11" s="207" t="str">
        <v>Available hours</v>
      </c>
      <c r="C11" s="59" t="str">
        <f>IF(OR(C10="Not started",C17&lt;&gt;"OK"),"",'Jan'!I41)</f>
      </c>
      <c r="D11" s="59" t="str">
        <f>IF(OR(D10="Not started",D17&lt;&gt;"OK"),"",'Feb'!I41)</f>
      </c>
      <c r="E11" s="59" t="str">
        <f>IF(OR(E10="Not started",E17&lt;&gt;"OK"),"",'Mar'!I41)</f>
      </c>
      <c r="F11" s="59" t="str">
        <f>IF(OR(F10="Not started",F17&lt;&gt;"OK"),"",'Apr'!I41)</f>
      </c>
      <c r="G11" s="59" t="str">
        <f>IF(OR(G10="Not started",G17&lt;&gt;"OK"),"",'May'!I41)</f>
      </c>
      <c r="H11" s="59" t="str">
        <f>IF(OR(H10="Not started",H17&lt;&gt;"OK"),"",'Jun'!I41)</f>
      </c>
      <c r="I11" s="59" t="str">
        <f>IF(OR(I10="Not started",I17&lt;&gt;"OK"),"",'Jul'!I41)</f>
      </c>
      <c r="J11" s="59" t="str">
        <f>IF(OR(J10="Not started",J17&lt;&gt;"OK"),"",'Aug'!I41)</f>
      </c>
      <c r="K11" s="59" t="str">
        <f>IF(OR(K10="Not started",K17&lt;&gt;"OK"),"",'Sep'!I41)</f>
      </c>
      <c r="L11" s="59" t="str">
        <f>IF(OR(L10="Not started",L17&lt;&gt;"OK"),"",'Oct'!I41)</f>
      </c>
      <c r="M11" s="59" t="str">
        <f>IF(OR(M10="Not started",M17&lt;&gt;"OK"),"",'Nov'!I41)</f>
      </c>
      <c r="N11" s="59" t="str">
        <f>IF(OR(N10="Not started",N17&lt;&gt;"OK"),"",'Dec'!I41)</f>
      </c>
      <c r="O11" s="3"/>
      <c r="P11" s="3"/>
      <c r="Q11" s="55"/>
    </row>
    <row r="12" ht="23" customHeight="1">
      <c r="A12" s="3"/>
      <c r="B12" s="207" t="str">
        <v>MBO hours</v>
      </c>
      <c r="C12" s="59" t="str">
        <f>IF(OR(C10="Not started",C17&lt;&gt;"OK"),"",'Jan'!U40)</f>
      </c>
      <c r="D12" s="59" t="str">
        <f>IF(OR(D10="Not started",D17&lt;&gt;"OK"),"",'Feb'!U40)</f>
      </c>
      <c r="E12" s="59" t="str">
        <f>IF(OR(E10="Not started",E17&lt;&gt;"OK"),"",'Mar'!U40)</f>
      </c>
      <c r="F12" s="59" t="str">
        <f>IF(OR(F10="Not started",F17&lt;&gt;"OK"),"",'Apr'!U40)</f>
      </c>
      <c r="G12" s="59" t="str">
        <f>IF(OR(G10="Not started",G17&lt;&gt;"OK"),"",'May'!U40)</f>
      </c>
      <c r="H12" s="59" t="str">
        <f>IF(OR(H10="Not started",H17&lt;&gt;"OK"),"",'Jun'!U40)</f>
      </c>
      <c r="I12" s="59" t="str">
        <f>IF(OR(I10="Not started",I17&lt;&gt;"OK"),"",'Jul'!U40)</f>
      </c>
      <c r="J12" s="59" t="str">
        <f>IF(OR(J10="Not started",J17&lt;&gt;"OK"),"",'Aug'!U40)</f>
      </c>
      <c r="K12" s="59" t="str">
        <f>IF(OR(K10="Not started",K17&lt;&gt;"OK"),"",'Sep'!U40)</f>
      </c>
      <c r="L12" s="59" t="str">
        <f>IF(OR(L10="Not started",L17&lt;&gt;"OK"),"",'Oct'!U40)</f>
      </c>
      <c r="M12" s="59" t="str">
        <f>IF(OR(M10="Not started",M17&lt;&gt;"OK"),"",'Nov'!U40)</f>
      </c>
      <c r="N12" s="59" t="str">
        <f>IF(OR(N10="Not started",N17&lt;&gt;"OK"),"",'Dec'!U40)</f>
      </c>
      <c r="O12" s="3"/>
      <c r="P12" s="3"/>
      <c r="Q12" s="55"/>
    </row>
    <row r="13" ht="23" customHeight="1">
      <c r="A13" s="3"/>
      <c r="B13" s="207" t="str">
        <v>Utilisation target</v>
      </c>
      <c r="C13" s="60" t="n">
        <f>$N$4</f>
        <v>0.75</v>
      </c>
      <c r="D13" s="60" t="n">
        <f>$N$4</f>
        <v>0.75</v>
      </c>
      <c r="E13" s="60" t="n">
        <f>$N$4</f>
        <v>0.75</v>
      </c>
      <c r="F13" s="60" t="n">
        <f>$N$4</f>
        <v>0.75</v>
      </c>
      <c r="G13" s="60" t="n">
        <f>$N$4</f>
        <v>0.75</v>
      </c>
      <c r="H13" s="60" t="n">
        <f>$N$4</f>
        <v>0.75</v>
      </c>
      <c r="I13" s="60" t="n">
        <f>$N$4</f>
        <v>0.75</v>
      </c>
      <c r="J13" s="60" t="n">
        <f>$N$4</f>
        <v>0.75</v>
      </c>
      <c r="K13" s="60" t="n">
        <f>$N$4</f>
        <v>0.75</v>
      </c>
      <c r="L13" s="60" t="n">
        <f>$N$4</f>
        <v>0.75</v>
      </c>
      <c r="M13" s="60" t="n">
        <f>$N$4</f>
        <v>0.75</v>
      </c>
      <c r="N13" s="60" t="n">
        <f>$N$4</f>
        <v>0.75</v>
      </c>
      <c r="O13" s="3"/>
      <c r="P13" s="3"/>
      <c r="Q13" s="55"/>
    </row>
    <row r="14" ht="23" customHeight="1">
      <c r="A14" s="3"/>
      <c r="B14" s="208" t="str">
        <v>Utilisation</v>
      </c>
      <c r="C14" s="71" t="str">
        <f>IF(OR(C10="Not started",C17&lt;&gt;"OK"),"",'Jan'!U41)</f>
      </c>
      <c r="D14" s="71" t="str">
        <f>IF(OR(D10="Not started",D17&lt;&gt;"OK"),"",'Feb'!U41)</f>
      </c>
      <c r="E14" s="71" t="str">
        <f>IF(OR(E10="Not started",E17&lt;&gt;"OK"),"",'Mar'!U41)</f>
      </c>
      <c r="F14" s="71" t="str">
        <f>IF(OR(F10="Not started",F17&lt;&gt;"OK"),"",'Apr'!U41)</f>
      </c>
      <c r="G14" s="71" t="str">
        <f>IF(OR(G10="Not started",G17&lt;&gt;"OK"),"",'May'!U41)</f>
      </c>
      <c r="H14" s="71" t="str">
        <f>IF(OR(H10="Not started",H17&lt;&gt;"OK"),"",'Jun'!U41)</f>
      </c>
      <c r="I14" s="71" t="str">
        <f>IF(OR(I10="Not started",I17&lt;&gt;"OK"),"",'Jul'!U41)</f>
      </c>
      <c r="J14" s="71" t="str">
        <f>IF(OR(J10="Not started",J17&lt;&gt;"OK"),"",'Aug'!U41)</f>
      </c>
      <c r="K14" s="71" t="str">
        <f>IF(OR(K10="Not started",K17&lt;&gt;"OK"),"",'Sep'!U41)</f>
      </c>
      <c r="L14" s="71" t="str">
        <f>IF(OR(L10="Not started",L17&lt;&gt;"OK"),"",'Oct'!U41)</f>
      </c>
      <c r="M14" s="71" t="str">
        <f>IF(OR(M10="Not started",M17&lt;&gt;"OK"),"",'Nov'!U41)</f>
      </c>
      <c r="N14" s="71" t="str">
        <f>IF(OR(N10="Not started",N17&lt;&gt;"OK"),"",'Dec'!U41)</f>
      </c>
      <c r="O14" s="3"/>
      <c r="P14" s="3"/>
      <c r="Q14" s="55"/>
    </row>
    <row r="15" ht="23" customHeight="1">
      <c r="A15" s="3"/>
      <c r="B15" s="207" t="str">
        <v>Achievement to target</v>
      </c>
      <c r="C15" s="60" t="str">
        <f>IF(OR(C10="Not started",C17&lt;&gt;"OK"),"",'Jan'!U43)</f>
      </c>
      <c r="D15" s="60" t="str">
        <f>IF(OR(D10="Not started",D17&lt;&gt;"OK"),"",'Feb'!U43)</f>
      </c>
      <c r="E15" s="60" t="str">
        <f>IF(OR(E10="Not started",E17&lt;&gt;"OK"),"",'Mar'!U43)</f>
      </c>
      <c r="F15" s="60" t="str">
        <f>IF(OR(F10="Not started",F17&lt;&gt;"OK"),"",'Apr'!U43)</f>
      </c>
      <c r="G15" s="60" t="str">
        <f>IF(OR(G10="Not started",G17&lt;&gt;"OK"),"",'May'!U43)</f>
      </c>
      <c r="H15" s="60" t="str">
        <f>IF(OR(H10="Not started",H17&lt;&gt;"OK"),"",'Jun'!U43)</f>
      </c>
      <c r="I15" s="60" t="str">
        <f>IF(OR(I10="Not started",I17&lt;&gt;"OK"),"",'Jul'!U43)</f>
      </c>
      <c r="J15" s="60" t="str">
        <f>IF(OR(J10="Not started",J17&lt;&gt;"OK"),"",'Aug'!U43)</f>
      </c>
      <c r="K15" s="60" t="str">
        <f>IF(OR(K10="Not started",K17&lt;&gt;"OK"),"",'Sep'!U43)</f>
      </c>
      <c r="L15" s="60" t="str">
        <f>IF(OR(L10="Not started",L17&lt;&gt;"OK"),"",'Oct'!U43)</f>
      </c>
      <c r="M15" s="60" t="str">
        <f>IF(OR(M10="Not started",M17&lt;&gt;"OK"),"",'Nov'!U43)</f>
      </c>
      <c r="N15" s="60" t="str">
        <f>IF(OR(N10="Not started",N17&lt;&gt;"OK"),"",'Dec'!U43)</f>
      </c>
      <c r="O15" s="3"/>
      <c r="P15" s="3"/>
      <c r="Q15" s="55"/>
    </row>
    <row r="16" ht="23" customHeight="1">
      <c r="A16" s="3"/>
      <c r="B16" s="207" t="str">
        <v>Hours to target</v>
      </c>
      <c r="C16" s="59" t="str">
        <f>IF(OR(C10="Not started",C17&lt;&gt;"OK"),"",'Jan'!U46)</f>
      </c>
      <c r="D16" s="59" t="str">
        <f>IF(OR(D10="Not started",D17&lt;&gt;"OK"),"",'Feb'!U46)</f>
      </c>
      <c r="E16" s="59" t="str">
        <f>IF(OR(E10="Not started",E17&lt;&gt;"OK"),"",'Mar'!U46)</f>
      </c>
      <c r="F16" s="59" t="str">
        <f>IF(OR(F10="Not started",F17&lt;&gt;"OK"),"",'Apr'!U46)</f>
      </c>
      <c r="G16" s="59" t="str">
        <f>IF(OR(G10="Not started",G17&lt;&gt;"OK"),"",'May'!U46)</f>
      </c>
      <c r="H16" s="59" t="str">
        <f>IF(OR(H10="Not started",H17&lt;&gt;"OK"),"",'Jun'!U46)</f>
      </c>
      <c r="I16" s="59" t="str">
        <f>IF(OR(I10="Not started",I17&lt;&gt;"OK"),"",'Jul'!U46)</f>
      </c>
      <c r="J16" s="59" t="str">
        <f>IF(OR(J10="Not started",J17&lt;&gt;"OK"),"",'Aug'!U46)</f>
      </c>
      <c r="K16" s="59" t="str">
        <f>IF(OR(K10="Not started",K17&lt;&gt;"OK"),"",'Sep'!U46)</f>
      </c>
      <c r="L16" s="59" t="str">
        <f>IF(OR(L10="Not started",L17&lt;&gt;"OK"),"",'Oct'!U46)</f>
      </c>
      <c r="M16" s="59" t="str">
        <f>IF(OR(M10="Not started",M17&lt;&gt;"OK"),"",'Nov'!U46)</f>
      </c>
      <c r="N16" s="59" t="str">
        <f>IF(OR(N10="Not started",N17&lt;&gt;"OK"),"",'Dec'!U46)</f>
      </c>
      <c r="O16" s="3"/>
      <c r="P16" s="3"/>
      <c r="Q16" s="55"/>
    </row>
    <row r="17" ht="34" customHeight="1">
      <c r="A17" s="3"/>
      <c r="B17" s="207" t="str">
        <v>Input status</v>
      </c>
      <c r="C17" s="61" t="str">
        <f>IF(C10="Not started","",'Jan'!B51)</f>
      </c>
      <c r="D17" s="61" t="str">
        <f>IF(D10="Not started","",'Feb'!B51)</f>
      </c>
      <c r="E17" s="61" t="str">
        <f>IF(E10="Not started","",'Mar'!B51)</f>
      </c>
      <c r="F17" s="61" t="str">
        <f>IF(F10="Not started","",'Apr'!B51)</f>
      </c>
      <c r="G17" s="61" t="str">
        <f>IF(G10="Not started","",'May'!B51)</f>
      </c>
      <c r="H17" s="61" t="str">
        <f>IF(H10="Not started","",'Jun'!B51)</f>
      </c>
      <c r="I17" s="61" t="str">
        <f>IF(I10="Not started","",'Jul'!B51)</f>
      </c>
      <c r="J17" s="61" t="str">
        <f>IF(J10="Not started","",'Aug'!B51)</f>
      </c>
      <c r="K17" s="61" t="str">
        <f>IF(K10="Not started","",'Sep'!B51)</f>
      </c>
      <c r="L17" s="61" t="str">
        <f>IF(L10="Not started","",'Oct'!B51)</f>
      </c>
      <c r="M17" s="61" t="str">
        <f>IF(M10="Not started","",'Nov'!B51)</f>
      </c>
      <c r="N17" s="61" t="str">
        <f>IF(N10="Not started","",'Dec'!B51)</f>
      </c>
      <c r="O17" s="3"/>
      <c r="P17" s="3"/>
      <c r="Q17" s="55"/>
    </row>
    <row r="18" ht="23" customHeight="1">
      <c r="A18" s="3"/>
      <c r="B18" s="6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55"/>
    </row>
    <row r="19" ht="23" customHeight="1">
      <c r="A19" s="3"/>
      <c r="B19" s="6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55"/>
    </row>
    <row r="20" ht="28" customHeight="1">
      <c r="A20" s="3"/>
      <c r="B20" s="67"/>
      <c r="C20" s="94" t="str">
        <v>Q1</v>
      </c>
      <c r="D20" s="95"/>
      <c r="E20" s="96"/>
      <c r="F20" s="94" t="str">
        <v>Q2</v>
      </c>
      <c r="G20" s="95"/>
      <c r="H20" s="96"/>
      <c r="I20" s="94" t="str">
        <v>Q3</v>
      </c>
      <c r="J20" s="95"/>
      <c r="K20" s="96"/>
      <c r="L20" s="94" t="str">
        <v>Q4</v>
      </c>
      <c r="M20" s="95"/>
      <c r="N20" s="96"/>
      <c r="O20" s="3"/>
      <c r="P20" s="105" t="str">
        <v>Year</v>
      </c>
      <c r="Q20" s="55"/>
    </row>
    <row r="21" ht="23" customHeight="1">
      <c r="A21" s="3"/>
      <c r="B21" s="209" t="str">
        <v>Available hours</v>
      </c>
      <c r="C21" s="85" t="str">
        <f>IF(COUNT(C11:E11)=0,"",SUM(C11:E11))</f>
      </c>
      <c r="D21" s="86"/>
      <c r="E21" s="87"/>
      <c r="F21" s="85" t="str">
        <f>IF(COUNT(F11:H11)=0,"",SUM(F11:H11))</f>
      </c>
      <c r="G21" s="86"/>
      <c r="H21" s="87"/>
      <c r="I21" s="85" t="str">
        <f>IF(COUNT(I11:K11)=0,"",SUM(I11:K11))</f>
      </c>
      <c r="J21" s="86"/>
      <c r="K21" s="87"/>
      <c r="L21" s="85" t="str">
        <f>IF(COUNT(L11:N11)=0,"",SUM(L11:N11))</f>
      </c>
      <c r="M21" s="86"/>
      <c r="N21" s="87"/>
      <c r="O21" s="3"/>
      <c r="P21" s="102" t="str">
        <f>IF(COUNT(C11:N11)=0,"",SUM(C11:N11))</f>
      </c>
      <c r="Q21" s="55"/>
    </row>
    <row r="22" ht="23" customHeight="1">
      <c r="A22" s="3"/>
      <c r="B22" s="210" t="str">
        <v>MBO hours</v>
      </c>
      <c r="C22" s="85" t="str">
        <f>IF(C21="","",SUM(C12:E12))</f>
      </c>
      <c r="D22" s="86"/>
      <c r="E22" s="87"/>
      <c r="F22" s="85" t="str">
        <f>IF(F21="","",SUM(F12:H12))</f>
      </c>
      <c r="G22" s="86"/>
      <c r="H22" s="87"/>
      <c r="I22" s="85" t="str">
        <f>IF(I21="","",SUM(I12:K12))</f>
      </c>
      <c r="J22" s="86"/>
      <c r="K22" s="87"/>
      <c r="L22" s="85" t="str">
        <f>IF(L21="","",SUM(L12:N12))</f>
      </c>
      <c r="M22" s="86"/>
      <c r="N22" s="87"/>
      <c r="O22" s="3"/>
      <c r="P22" s="102" t="str">
        <f>IF(P21="","",SUM(C12:N12))</f>
      </c>
      <c r="Q22" s="55"/>
    </row>
    <row r="23" ht="23" customHeight="1">
      <c r="A23" s="3"/>
      <c r="B23" s="210" t="str">
        <v>Utilisation target</v>
      </c>
      <c r="C23" s="88" t="n">
        <f>$N$4</f>
        <v>0.75</v>
      </c>
      <c r="D23" s="89"/>
      <c r="E23" s="90"/>
      <c r="F23" s="88" t="n">
        <f>$N$4</f>
        <v>0.75</v>
      </c>
      <c r="G23" s="89"/>
      <c r="H23" s="90"/>
      <c r="I23" s="88" t="n">
        <f>$N$4</f>
        <v>0.75</v>
      </c>
      <c r="J23" s="89"/>
      <c r="K23" s="90"/>
      <c r="L23" s="88" t="n">
        <f>$N$4</f>
        <v>0.75</v>
      </c>
      <c r="M23" s="89"/>
      <c r="N23" s="90"/>
      <c r="O23" s="3"/>
      <c r="P23" s="103" t="n">
        <f>$N$4</f>
        <v>0.75</v>
      </c>
      <c r="Q23" s="55"/>
    </row>
    <row r="24" ht="23" customHeight="1">
      <c r="A24" s="3"/>
      <c r="B24" s="210" t="str">
        <v>Utilisation</v>
      </c>
      <c r="C24" s="88" t="str">
        <f>IF(C21="","",IF(C21=0,"n.a.",C22/C21))</f>
      </c>
      <c r="D24" s="89"/>
      <c r="E24" s="90"/>
      <c r="F24" s="88" t="str">
        <f>IF(F21="","",IF(F21=0,"n.a.",F22/F21))</f>
      </c>
      <c r="G24" s="89"/>
      <c r="H24" s="90"/>
      <c r="I24" s="88" t="str">
        <f>IF(I21="","",IF(I21=0,"n.a.",I22/I21))</f>
      </c>
      <c r="J24" s="89"/>
      <c r="K24" s="90"/>
      <c r="L24" s="88" t="str">
        <f>IF(L21="","",IF(L21=0,"n.a.",L22/L21))</f>
      </c>
      <c r="M24" s="89"/>
      <c r="N24" s="90"/>
      <c r="O24" s="3"/>
      <c r="P24" s="103" t="str">
        <f>IF(P21="","",IF(P21=0,"n.a.",P22/P21))</f>
      </c>
      <c r="Q24" s="55"/>
    </row>
    <row r="25" ht="23" customHeight="1">
      <c r="A25" s="3"/>
      <c r="B25" s="210" t="str">
        <v>Achievement to target</v>
      </c>
      <c r="C25" s="88" t="str">
        <f>IF(ISNUMBER(C24),C24/C23,"")</f>
      </c>
      <c r="D25" s="89"/>
      <c r="E25" s="90"/>
      <c r="F25" s="88" t="str">
        <f>IF(ISNUMBER(F24),F24/F23,"")</f>
      </c>
      <c r="G25" s="89"/>
      <c r="H25" s="90"/>
      <c r="I25" s="88" t="str">
        <f>IF(ISNUMBER(I24),I24/I23,"")</f>
      </c>
      <c r="J25" s="89"/>
      <c r="K25" s="90"/>
      <c r="L25" s="88" t="str">
        <f>IF(ISNUMBER(L24),L24/L23,"")</f>
      </c>
      <c r="M25" s="89"/>
      <c r="N25" s="90"/>
      <c r="O25" s="3"/>
      <c r="P25" s="103" t="str">
        <f>IF(ISNUMBER(P24),P24/P23,"")</f>
      </c>
      <c r="Q25" s="55"/>
    </row>
    <row r="26" ht="23" customHeight="1">
      <c r="A26" s="3"/>
      <c r="B26" s="210" t="str">
        <v>Hours to target</v>
      </c>
      <c r="C26" s="85" t="str">
        <f>IF(C21="","",MAX(0,C21*C23-C22))</f>
      </c>
      <c r="D26" s="86"/>
      <c r="E26" s="87"/>
      <c r="F26" s="85" t="str">
        <f>IF(F21="","",MAX(0,F21*F23-F22))</f>
      </c>
      <c r="G26" s="86"/>
      <c r="H26" s="87"/>
      <c r="I26" s="85" t="str">
        <f>IF(I21="","",MAX(0,I21*I23-I22))</f>
      </c>
      <c r="J26" s="86"/>
      <c r="K26" s="87"/>
      <c r="L26" s="85" t="str">
        <f>IF(L21="","",MAX(0,L21*L23-L22))</f>
      </c>
      <c r="M26" s="86"/>
      <c r="N26" s="87"/>
      <c r="O26" s="3"/>
      <c r="P26" s="102" t="str">
        <f>IF(P21="","",MAX(0,P21*P23-P22))</f>
      </c>
      <c r="Q26" s="55"/>
    </row>
    <row r="27" ht="32" customHeight="1">
      <c r="A27" s="3"/>
      <c r="B27" s="211" t="str">
        <v>Coverage</v>
      </c>
      <c r="C27" s="91" t="str">
        <f>IF(COUNTIFS(C17:E17,"Check*")&gt;0,"Check month inputs",IF(COUNTIFS(C10:E10,"Forecast")&gt;0,"Includes forecast",IF(COUNTIFS(C10:E10,"Actual")&gt;0,"Actual months only","Not started")))</f>
        <v>Not started</v>
      </c>
      <c r="D27" s="92"/>
      <c r="E27" s="93"/>
      <c r="F27" s="91" t="str">
        <f>IF(COUNTIFS(F17:H17,"Check*")&gt;0,"Check month inputs",IF(COUNTIFS(F10:H10,"Forecast")&gt;0,"Includes forecast",IF(COUNTIFS(F10:H10,"Actual")&gt;0,"Actual months only","Not started")))</f>
        <v>Not started</v>
      </c>
      <c r="G27" s="92"/>
      <c r="H27" s="93"/>
      <c r="I27" s="91" t="str">
        <f>IF(COUNTIFS(I17:K17,"Check*")&gt;0,"Check month inputs",IF(COUNTIFS(I10:K10,"Forecast")&gt;0,"Includes forecast",IF(COUNTIFS(I10:K10,"Actual")&gt;0,"Actual months only","Not started")))</f>
        <v>Not started</v>
      </c>
      <c r="J27" s="92"/>
      <c r="K27" s="93"/>
      <c r="L27" s="91" t="str">
        <f>IF(COUNTIFS(L17:N17,"Check*")&gt;0,"Check month inputs",IF(COUNTIFS(L10:N10,"Forecast")&gt;0,"Includes forecast",IF(COUNTIFS(L10:N10,"Actual")&gt;0,"Actual months only","Not started")))</f>
        <v>Not started</v>
      </c>
      <c r="M27" s="92"/>
      <c r="N27" s="93"/>
      <c r="O27" s="3"/>
      <c r="P27" s="104" t="str">
        <f>IF(COUNTIFS(C17:N17,"Check*")&gt;0,"Check months",IF(COUNTIFS(C10:N10,"Forecast")&gt;0,"Includes forecast",IF(COUNTIFS(C10:N10,"Actual")&gt;0,"Actual months","Not started")))</f>
        <v>Not started</v>
      </c>
      <c r="Q27" s="55"/>
    </row>
    <row r="28" ht="23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5"/>
    </row>
    <row r="29" ht="23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5"/>
    </row>
    <row r="30" ht="23" customHeight="1">
      <c r="A30" s="3"/>
      <c r="B30" s="3" t="str">
        <v>MBO includes approved concessions/work at risk and project overruns in addition to billable work.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5"/>
    </row>
    <row r="31" ht="23" customHeight="1">
      <c r="A31" s="3"/>
      <c r="B31" s="3" t="str">
        <v>These extra hours do not count towards the billable utilisation target on Billable summary.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5"/>
    </row>
    <row r="32" ht="23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5"/>
    </row>
    <row r="33" ht="23" customHeight="1">
      <c r="A33" s="3"/>
      <c r="B33" s="3" t="str">
        <v>Quarter and year results include only months marked Actual or Forecast with valid inputs. Coverage shows when a forecast is included.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5"/>
    </row>
    <row r="34" ht="2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5"/>
    </row>
    <row r="35" ht="23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5"/>
    </row>
    <row r="36" ht="23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5"/>
    </row>
    <row r="38" ht="23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5"/>
    </row>
    <row r="39">
      <c r="Q39" s="55"/>
    </row>
  </sheetData>
  <mergeCells>
    <mergeCell ref="B2:P2"/>
    <mergeCell ref="F4:J4"/>
    <mergeCell ref="L4:M4"/>
    <mergeCell ref="B5:N5"/>
    <mergeCell ref="B7:P7"/>
    <mergeCell ref="C20:E20"/>
    <mergeCell ref="C21:E21"/>
    <mergeCell ref="C22:E22"/>
    <mergeCell ref="C23:E23"/>
    <mergeCell ref="C24:E24"/>
    <mergeCell ref="C25:E25"/>
    <mergeCell ref="C26:E26"/>
    <mergeCell ref="C27:E27"/>
    <mergeCell ref="F20:H20"/>
    <mergeCell ref="F21:H21"/>
    <mergeCell ref="F22:H22"/>
    <mergeCell ref="F23:H23"/>
    <mergeCell ref="F24:H24"/>
    <mergeCell ref="F25:H25"/>
    <mergeCell ref="F26:H26"/>
    <mergeCell ref="F27:H27"/>
    <mergeCell ref="I20:K20"/>
    <mergeCell ref="I21:K21"/>
    <mergeCell ref="I22:K22"/>
    <mergeCell ref="I23:K23"/>
    <mergeCell ref="I24:K24"/>
    <mergeCell ref="I25:K25"/>
    <mergeCell ref="I26:K26"/>
    <mergeCell ref="I27:K27"/>
    <mergeCell ref="L20:N20"/>
    <mergeCell ref="L21:N21"/>
    <mergeCell ref="L22:N22"/>
    <mergeCell ref="L23:N23"/>
    <mergeCell ref="L24:N24"/>
    <mergeCell ref="L25:N25"/>
    <mergeCell ref="L26:N26"/>
    <mergeCell ref="L27:N27"/>
    <mergeCell ref="B30:P30"/>
    <mergeCell ref="B31:P31"/>
    <mergeCell ref="B33:P33"/>
  </mergeCells>
  <conditionalFormatting sqref="C14:N14">
    <cfRule type="expression" dxfId="26" priority="1">
      <formula>AND(ISNUMBER(C14),C14&gt;=C13)</formula>
    </cfRule>
    <cfRule type="expression" dxfId="27" priority="2">
      <formula>AND(ISNUMBER(C14),C14&lt;C13)</formula>
    </cfRule>
  </conditionalFormatting>
  <conditionalFormatting sqref="C17:N17">
    <cfRule type="containsText" dxfId="28" priority="3" operator="containsText" text="Check"/>
    <cfRule type="containsText" dxfId="29" priority="4" operator="containsText" text="Invalid"/>
    <cfRule type="containsText" dxfId="30" priority="5" operator="containsText" text="Negative"/>
    <cfRule type="containsText" dxfId="31" priority="6" operator="containsText" text="Outside"/>
  </conditionalFormatting>
  <conditionalFormatting sqref="C27:E27">
    <cfRule type="containsText" dxfId="32" priority="7" operator="containsText" text="Check"/>
    <cfRule type="containsText" dxfId="33" priority="8" operator="containsText" text="Invalid"/>
    <cfRule type="containsText" dxfId="34" priority="9" operator="containsText" text="Negative"/>
    <cfRule type="containsText" dxfId="35" priority="10" operator="containsText" text="Outside"/>
  </conditionalFormatting>
  <conditionalFormatting sqref="F27:H27">
    <cfRule type="containsText" dxfId="36" priority="11" operator="containsText" text="Check"/>
    <cfRule type="containsText" dxfId="37" priority="12" operator="containsText" text="Invalid"/>
    <cfRule type="containsText" dxfId="38" priority="13" operator="containsText" text="Negative"/>
    <cfRule type="containsText" dxfId="39" priority="14" operator="containsText" text="Outside"/>
  </conditionalFormatting>
  <conditionalFormatting sqref="I27:K27">
    <cfRule type="containsText" dxfId="40" priority="15" operator="containsText" text="Check"/>
    <cfRule type="containsText" dxfId="41" priority="16" operator="containsText" text="Invalid"/>
    <cfRule type="containsText" dxfId="42" priority="17" operator="containsText" text="Negative"/>
    <cfRule type="containsText" dxfId="43" priority="18" operator="containsText" text="Outside"/>
  </conditionalFormatting>
  <conditionalFormatting sqref="L27:N27">
    <cfRule type="containsText" dxfId="44" priority="19" operator="containsText" text="Check"/>
    <cfRule type="containsText" dxfId="45" priority="20" operator="containsText" text="Invalid"/>
    <cfRule type="containsText" dxfId="46" priority="21" operator="containsText" text="Negative"/>
    <cfRule type="containsText" dxfId="47" priority="22" operator="containsText" text="Outside"/>
  </conditionalFormatting>
  <conditionalFormatting sqref="P27:P27">
    <cfRule type="containsText" dxfId="48" priority="23" operator="containsText" text="Check"/>
    <cfRule type="containsText" dxfId="49" priority="24" operator="containsText" text="Invalid"/>
    <cfRule type="containsText" dxfId="50" priority="25" operator="containsText" text="Negative"/>
    <cfRule type="containsText" dxfId="51" priority="26" operator="containsText" text="Outside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summary'!$C$4,1,1),"mmmm yyyy")</f>
        <v>January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summary'!$C$4,2,0)),DATE('Billable summary'!$C$4,1,1),"")</f>
        <v>46023</v>
      </c>
      <c r="D5" s="48" t="n">
        <f>IF(2&lt;=DAY(DATE('Billable summary'!$C$4,2,0)),DATE('Billable summary'!$C$4,1,2),"")</f>
        <v>46024</v>
      </c>
      <c r="E5" s="48" t="n">
        <f>IF(3&lt;=DAY(DATE('Billable summary'!$C$4,2,0)),DATE('Billable summary'!$C$4,1,3),"")</f>
        <v>46025</v>
      </c>
      <c r="F5" s="48" t="n">
        <f>IF(4&lt;=DAY(DATE('Billable summary'!$C$4,2,0)),DATE('Billable summary'!$C$4,1,4),"")</f>
        <v>46026</v>
      </c>
      <c r="G5" s="48" t="n">
        <f>IF(5&lt;=DAY(DATE('Billable summary'!$C$4,2,0)),DATE('Billable summary'!$C$4,1,5),"")</f>
        <v>46027</v>
      </c>
      <c r="H5" s="48" t="n">
        <f>IF(6&lt;=DAY(DATE('Billable summary'!$C$4,2,0)),DATE('Billable summary'!$C$4,1,6),"")</f>
        <v>46028</v>
      </c>
      <c r="I5" s="48" t="n">
        <f>IF(7&lt;=DAY(DATE('Billable summary'!$C$4,2,0)),DATE('Billable summary'!$C$4,1,7),"")</f>
        <v>46029</v>
      </c>
      <c r="J5" s="48" t="n">
        <f>IF(8&lt;=DAY(DATE('Billable summary'!$C$4,2,0)),DATE('Billable summary'!$C$4,1,8),"")</f>
        <v>46030</v>
      </c>
      <c r="K5" s="48" t="n">
        <f>IF(9&lt;=DAY(DATE('Billable summary'!$C$4,2,0)),DATE('Billable summary'!$C$4,1,9),"")</f>
        <v>46031</v>
      </c>
      <c r="L5" s="48" t="n">
        <f>IF(10&lt;=DAY(DATE('Billable summary'!$C$4,2,0)),DATE('Billable summary'!$C$4,1,10),"")</f>
        <v>46032</v>
      </c>
      <c r="M5" s="48" t="n">
        <f>IF(11&lt;=DAY(DATE('Billable summary'!$C$4,2,0)),DATE('Billable summary'!$C$4,1,11),"")</f>
        <v>46033</v>
      </c>
      <c r="N5" s="48" t="n">
        <f>IF(12&lt;=DAY(DATE('Billable summary'!$C$4,2,0)),DATE('Billable summary'!$C$4,1,12),"")</f>
        <v>46034</v>
      </c>
      <c r="O5" s="48" t="n">
        <f>IF(13&lt;=DAY(DATE('Billable summary'!$C$4,2,0)),DATE('Billable summary'!$C$4,1,13),"")</f>
        <v>46035</v>
      </c>
      <c r="P5" s="48" t="n">
        <f>IF(14&lt;=DAY(DATE('Billable summary'!$C$4,2,0)),DATE('Billable summary'!$C$4,1,14),"")</f>
        <v>46036</v>
      </c>
      <c r="Q5" s="48" t="n">
        <f>IF(15&lt;=DAY(DATE('Billable summary'!$C$4,2,0)),DATE('Billable summary'!$C$4,1,15),"")</f>
        <v>46037</v>
      </c>
      <c r="R5" s="48" t="n">
        <f>IF(16&lt;=DAY(DATE('Billable summary'!$C$4,2,0)),DATE('Billable summary'!$C$4,1,16),"")</f>
        <v>46038</v>
      </c>
      <c r="S5" s="48" t="n">
        <f>IF(17&lt;=DAY(DATE('Billable summary'!$C$4,2,0)),DATE('Billable summary'!$C$4,1,17),"")</f>
        <v>46039</v>
      </c>
      <c r="T5" s="48" t="n">
        <f>IF(18&lt;=DAY(DATE('Billable summary'!$C$4,2,0)),DATE('Billable summary'!$C$4,1,18),"")</f>
        <v>46040</v>
      </c>
      <c r="U5" s="48" t="n">
        <f>IF(19&lt;=DAY(DATE('Billable summary'!$C$4,2,0)),DATE('Billable summary'!$C$4,1,19),"")</f>
        <v>46041</v>
      </c>
      <c r="V5" s="48" t="n">
        <f>IF(20&lt;=DAY(DATE('Billable summary'!$C$4,2,0)),DATE('Billable summary'!$C$4,1,20),"")</f>
        <v>46042</v>
      </c>
      <c r="W5" s="48" t="n">
        <f>IF(21&lt;=DAY(DATE('Billable summary'!$C$4,2,0)),DATE('Billable summary'!$C$4,1,21),"")</f>
        <v>46043</v>
      </c>
      <c r="X5" s="48" t="n">
        <f>IF(22&lt;=DAY(DATE('Billable summary'!$C$4,2,0)),DATE('Billable summary'!$C$4,1,22),"")</f>
        <v>46044</v>
      </c>
      <c r="Y5" s="48" t="n">
        <f>IF(23&lt;=DAY(DATE('Billable summary'!$C$4,2,0)),DATE('Billable summary'!$C$4,1,23),"")</f>
        <v>46045</v>
      </c>
      <c r="Z5" s="48" t="n">
        <f>IF(24&lt;=DAY(DATE('Billable summary'!$C$4,2,0)),DATE('Billable summary'!$C$4,1,24),"")</f>
        <v>46046</v>
      </c>
      <c r="AA5" s="48" t="n">
        <f>IF(25&lt;=DAY(DATE('Billable summary'!$C$4,2,0)),DATE('Billable summary'!$C$4,1,25),"")</f>
        <v>46047</v>
      </c>
      <c r="AB5" s="48" t="n">
        <f>IF(26&lt;=DAY(DATE('Billable summary'!$C$4,2,0)),DATE('Billable summary'!$C$4,1,26),"")</f>
        <v>46048</v>
      </c>
      <c r="AC5" s="48" t="n">
        <f>IF(27&lt;=DAY(DATE('Billable summary'!$C$4,2,0)),DATE('Billable summary'!$C$4,1,27),"")</f>
        <v>46049</v>
      </c>
      <c r="AD5" s="48" t="n">
        <f>IF(28&lt;=DAY(DATE('Billable summary'!$C$4,2,0)),DATE('Billable summary'!$C$4,1,28),"")</f>
        <v>46050</v>
      </c>
      <c r="AE5" s="48" t="n">
        <f>IF(29&lt;=DAY(DATE('Billable summary'!$C$4,2,0)),DATE('Billable summary'!$C$4,1,29),"")</f>
        <v>46051</v>
      </c>
      <c r="AF5" s="48" t="n">
        <f>IF(30&lt;=DAY(DATE('Billable summary'!$C$4,2,0)),DATE('Billable summary'!$C$4,1,30),"")</f>
        <v>46052</v>
      </c>
      <c r="AG5" s="48" t="n">
        <f>IF(31&lt;=DAY(DATE('Billable summary'!$C$4,2,0)),DATE('Billable summary'!$C$4,1,31),"")</f>
        <v>46053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46023</v>
      </c>
      <c r="D6" s="142" t="n">
        <f>IF(D$5="","",D$5)</f>
        <v>46024</v>
      </c>
      <c r="E6" s="142" t="n">
        <f>IF(E$5="","",E$5)</f>
        <v>46025</v>
      </c>
      <c r="F6" s="142" t="n">
        <f>IF(F$5="","",F$5)</f>
        <v>46026</v>
      </c>
      <c r="G6" s="142" t="n">
        <f>IF(G$5="","",G$5)</f>
        <v>46027</v>
      </c>
      <c r="H6" s="142" t="n">
        <f>IF(H$5="","",H$5)</f>
        <v>46028</v>
      </c>
      <c r="I6" s="142" t="n">
        <f>IF(I$5="","",I$5)</f>
        <v>46029</v>
      </c>
      <c r="J6" s="142" t="n">
        <f>IF(J$5="","",J$5)</f>
        <v>46030</v>
      </c>
      <c r="K6" s="142" t="n">
        <f>IF(K$5="","",K$5)</f>
        <v>46031</v>
      </c>
      <c r="L6" s="142" t="n">
        <f>IF(L$5="","",L$5)</f>
        <v>46032</v>
      </c>
      <c r="M6" s="142" t="n">
        <f>IF(M$5="","",M$5)</f>
        <v>46033</v>
      </c>
      <c r="N6" s="142" t="n">
        <f>IF(N$5="","",N$5)</f>
        <v>46034</v>
      </c>
      <c r="O6" s="142" t="n">
        <f>IF(O$5="","",O$5)</f>
        <v>46035</v>
      </c>
      <c r="P6" s="142" t="n">
        <f>IF(P$5="","",P$5)</f>
        <v>46036</v>
      </c>
      <c r="Q6" s="142" t="n">
        <f>IF(Q$5="","",Q$5)</f>
        <v>46037</v>
      </c>
      <c r="R6" s="142" t="n">
        <f>IF(R$5="","",R$5)</f>
        <v>46038</v>
      </c>
      <c r="S6" s="142" t="n">
        <f>IF(S$5="","",S$5)</f>
        <v>46039</v>
      </c>
      <c r="T6" s="142" t="n">
        <f>IF(T$5="","",T$5)</f>
        <v>46040</v>
      </c>
      <c r="U6" s="142" t="n">
        <f>IF(U$5="","",U$5)</f>
        <v>46041</v>
      </c>
      <c r="V6" s="142" t="n">
        <f>IF(V$5="","",V$5)</f>
        <v>46042</v>
      </c>
      <c r="W6" s="142" t="n">
        <f>IF(W$5="","",W$5)</f>
        <v>46043</v>
      </c>
      <c r="X6" s="142" t="n">
        <f>IF(X$5="","",X$5)</f>
        <v>46044</v>
      </c>
      <c r="Y6" s="142" t="n">
        <f>IF(Y$5="","",Y$5)</f>
        <v>46045</v>
      </c>
      <c r="Z6" s="142" t="n">
        <f>IF(Z$5="","",Z$5)</f>
        <v>46046</v>
      </c>
      <c r="AA6" s="142" t="n">
        <f>IF(AA$5="","",AA$5)</f>
        <v>46047</v>
      </c>
      <c r="AB6" s="142" t="n">
        <f>IF(AB$5="","",AB$5)</f>
        <v>46048</v>
      </c>
      <c r="AC6" s="142" t="n">
        <f>IF(AC$5="","",AC$5)</f>
        <v>46049</v>
      </c>
      <c r="AD6" s="142" t="n">
        <f>IF(AD$5="","",AD$5)</f>
        <v>46050</v>
      </c>
      <c r="AE6" s="142" t="n">
        <f>IF(AE$5="","",AE$5)</f>
        <v>46051</v>
      </c>
      <c r="AF6" s="142" t="n">
        <f>IF(AF$5="","",AF$5)</f>
        <v>46052</v>
      </c>
      <c r="AG6" s="142" t="n">
        <f>IF(AG$5="","",AG$5)</f>
        <v>46053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46023</v>
      </c>
      <c r="D19" s="142" t="n">
        <f>IF(D$5="","",D$5)</f>
        <v>46024</v>
      </c>
      <c r="E19" s="142" t="n">
        <f>IF(E$5="","",E$5)</f>
        <v>46025</v>
      </c>
      <c r="F19" s="142" t="n">
        <f>IF(F$5="","",F$5)</f>
        <v>46026</v>
      </c>
      <c r="G19" s="142" t="n">
        <f>IF(G$5="","",G$5)</f>
        <v>46027</v>
      </c>
      <c r="H19" s="142" t="n">
        <f>IF(H$5="","",H$5)</f>
        <v>46028</v>
      </c>
      <c r="I19" s="142" t="n">
        <f>IF(I$5="","",I$5)</f>
        <v>46029</v>
      </c>
      <c r="J19" s="142" t="n">
        <f>IF(J$5="","",J$5)</f>
        <v>46030</v>
      </c>
      <c r="K19" s="142" t="n">
        <f>IF(K$5="","",K$5)</f>
        <v>46031</v>
      </c>
      <c r="L19" s="142" t="n">
        <f>IF(L$5="","",L$5)</f>
        <v>46032</v>
      </c>
      <c r="M19" s="142" t="n">
        <f>IF(M$5="","",M$5)</f>
        <v>46033</v>
      </c>
      <c r="N19" s="142" t="n">
        <f>IF(N$5="","",N$5)</f>
        <v>46034</v>
      </c>
      <c r="O19" s="142" t="n">
        <f>IF(O$5="","",O$5)</f>
        <v>46035</v>
      </c>
      <c r="P19" s="142" t="n">
        <f>IF(P$5="","",P$5)</f>
        <v>46036</v>
      </c>
      <c r="Q19" s="142" t="n">
        <f>IF(Q$5="","",Q$5)</f>
        <v>46037</v>
      </c>
      <c r="R19" s="142" t="n">
        <f>IF(R$5="","",R$5)</f>
        <v>46038</v>
      </c>
      <c r="S19" s="142" t="n">
        <f>IF(S$5="","",S$5)</f>
        <v>46039</v>
      </c>
      <c r="T19" s="142" t="n">
        <f>IF(T$5="","",T$5)</f>
        <v>46040</v>
      </c>
      <c r="U19" s="142" t="n">
        <f>IF(U$5="","",U$5)</f>
        <v>46041</v>
      </c>
      <c r="V19" s="142" t="n">
        <f>IF(V$5="","",V$5)</f>
        <v>46042</v>
      </c>
      <c r="W19" s="142" t="n">
        <f>IF(W$5="","",W$5)</f>
        <v>46043</v>
      </c>
      <c r="X19" s="142" t="n">
        <f>IF(X$5="","",X$5)</f>
        <v>46044</v>
      </c>
      <c r="Y19" s="142" t="n">
        <f>IF(Y$5="","",Y$5)</f>
        <v>46045</v>
      </c>
      <c r="Z19" s="142" t="n">
        <f>IF(Z$5="","",Z$5)</f>
        <v>46046</v>
      </c>
      <c r="AA19" s="142" t="n">
        <f>IF(AA$5="","",AA$5)</f>
        <v>46047</v>
      </c>
      <c r="AB19" s="142" t="n">
        <f>IF(AB$5="","",AB$5)</f>
        <v>46048</v>
      </c>
      <c r="AC19" s="142" t="n">
        <f>IF(AC$5="","",AC$5)</f>
        <v>46049</v>
      </c>
      <c r="AD19" s="142" t="n">
        <f>IF(AD$5="","",AD$5)</f>
        <v>46050</v>
      </c>
      <c r="AE19" s="142" t="n">
        <f>IF(AE$5="","",AE$5)</f>
        <v>46051</v>
      </c>
      <c r="AF19" s="142" t="n">
        <f>IF(AF$5="","",AF$5)</f>
        <v>46052</v>
      </c>
      <c r="AG19" s="142" t="n">
        <f>IF(AG$5="","",AG$5)</f>
        <v>46053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46023</v>
      </c>
      <c r="D30" s="48" t="n">
        <f>IF(D$5="","",D$5)</f>
        <v>46024</v>
      </c>
      <c r="E30" s="48" t="n">
        <f>IF(E$5="","",E$5)</f>
        <v>46025</v>
      </c>
      <c r="F30" s="48" t="n">
        <f>IF(F$5="","",F$5)</f>
        <v>46026</v>
      </c>
      <c r="G30" s="48" t="n">
        <f>IF(G$5="","",G$5)</f>
        <v>46027</v>
      </c>
      <c r="H30" s="48" t="n">
        <f>IF(H$5="","",H$5)</f>
        <v>46028</v>
      </c>
      <c r="I30" s="48" t="n">
        <f>IF(I$5="","",I$5)</f>
        <v>46029</v>
      </c>
      <c r="J30" s="48" t="n">
        <f>IF(J$5="","",J$5)</f>
        <v>46030</v>
      </c>
      <c r="K30" s="48" t="n">
        <f>IF(K$5="","",K$5)</f>
        <v>46031</v>
      </c>
      <c r="L30" s="48" t="n">
        <f>IF(L$5="","",L$5)</f>
        <v>46032</v>
      </c>
      <c r="M30" s="48" t="n">
        <f>IF(M$5="","",M$5)</f>
        <v>46033</v>
      </c>
      <c r="N30" s="48" t="n">
        <f>IF(N$5="","",N$5)</f>
        <v>46034</v>
      </c>
      <c r="O30" s="48" t="n">
        <f>IF(O$5="","",O$5)</f>
        <v>46035</v>
      </c>
      <c r="P30" s="48" t="n">
        <f>IF(P$5="","",P$5)</f>
        <v>46036</v>
      </c>
      <c r="Q30" s="48" t="n">
        <f>IF(Q$5="","",Q$5)</f>
        <v>46037</v>
      </c>
      <c r="R30" s="48" t="n">
        <f>IF(R$5="","",R$5)</f>
        <v>46038</v>
      </c>
      <c r="S30" s="48" t="n">
        <f>IF(S$5="","",S$5)</f>
        <v>46039</v>
      </c>
      <c r="T30" s="48" t="n">
        <f>IF(T$5="","",T$5)</f>
        <v>46040</v>
      </c>
      <c r="U30" s="48" t="n">
        <f>IF(U$5="","",U$5)</f>
        <v>46041</v>
      </c>
      <c r="V30" s="48" t="n">
        <f>IF(V$5="","",V$5)</f>
        <v>46042</v>
      </c>
      <c r="W30" s="48" t="n">
        <f>IF(W$5="","",W$5)</f>
        <v>46043</v>
      </c>
      <c r="X30" s="48" t="n">
        <f>IF(X$5="","",X$5)</f>
        <v>46044</v>
      </c>
      <c r="Y30" s="48" t="n">
        <f>IF(Y$5="","",Y$5)</f>
        <v>46045</v>
      </c>
      <c r="Z30" s="48" t="n">
        <f>IF(Z$5="","",Z$5)</f>
        <v>46046</v>
      </c>
      <c r="AA30" s="48" t="n">
        <f>IF(AA$5="","",AA$5)</f>
        <v>46047</v>
      </c>
      <c r="AB30" s="48" t="n">
        <f>IF(AB$5="","",AB$5)</f>
        <v>46048</v>
      </c>
      <c r="AC30" s="48" t="n">
        <f>IF(AC$5="","",AC$5)</f>
        <v>46049</v>
      </c>
      <c r="AD30" s="48" t="n">
        <f>IF(AD$5="","",AD$5)</f>
        <v>46050</v>
      </c>
      <c r="AE30" s="48" t="n">
        <f>IF(AE$5="","",AE$5)</f>
        <v>46051</v>
      </c>
      <c r="AF30" s="48" t="n">
        <f>IF(AF$5="","",AF$5)</f>
        <v>46052</v>
      </c>
      <c r="AG30" s="48" t="n">
        <f>IF(AG$5="","",AG$5)</f>
        <v>46053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46023</v>
      </c>
      <c r="D31" s="142" t="n">
        <f>IF(D$5="","",D$5)</f>
        <v>46024</v>
      </c>
      <c r="E31" s="142" t="n">
        <f>IF(E$5="","",E$5)</f>
        <v>46025</v>
      </c>
      <c r="F31" s="142" t="n">
        <f>IF(F$5="","",F$5)</f>
        <v>46026</v>
      </c>
      <c r="G31" s="142" t="n">
        <f>IF(G$5="","",G$5)</f>
        <v>46027</v>
      </c>
      <c r="H31" s="142" t="n">
        <f>IF(H$5="","",H$5)</f>
        <v>46028</v>
      </c>
      <c r="I31" s="142" t="n">
        <f>IF(I$5="","",I$5)</f>
        <v>46029</v>
      </c>
      <c r="J31" s="142" t="n">
        <f>IF(J$5="","",J$5)</f>
        <v>46030</v>
      </c>
      <c r="K31" s="142" t="n">
        <f>IF(K$5="","",K$5)</f>
        <v>46031</v>
      </c>
      <c r="L31" s="142" t="n">
        <f>IF(L$5="","",L$5)</f>
        <v>46032</v>
      </c>
      <c r="M31" s="142" t="n">
        <f>IF(M$5="","",M$5)</f>
        <v>46033</v>
      </c>
      <c r="N31" s="142" t="n">
        <f>IF(N$5="","",N$5)</f>
        <v>46034</v>
      </c>
      <c r="O31" s="142" t="n">
        <f>IF(O$5="","",O$5)</f>
        <v>46035</v>
      </c>
      <c r="P31" s="142" t="n">
        <f>IF(P$5="","",P$5)</f>
        <v>46036</v>
      </c>
      <c r="Q31" s="142" t="n">
        <f>IF(Q$5="","",Q$5)</f>
        <v>46037</v>
      </c>
      <c r="R31" s="142" t="n">
        <f>IF(R$5="","",R$5)</f>
        <v>46038</v>
      </c>
      <c r="S31" s="142" t="n">
        <f>IF(S$5="","",S$5)</f>
        <v>46039</v>
      </c>
      <c r="T31" s="142" t="n">
        <f>IF(T$5="","",T$5)</f>
        <v>46040</v>
      </c>
      <c r="U31" s="142" t="n">
        <f>IF(U$5="","",U$5)</f>
        <v>46041</v>
      </c>
      <c r="V31" s="142" t="n">
        <f>IF(V$5="","",V$5)</f>
        <v>46042</v>
      </c>
      <c r="W31" s="142" t="n">
        <f>IF(W$5="","",W$5)</f>
        <v>46043</v>
      </c>
      <c r="X31" s="142" t="n">
        <f>IF(X$5="","",X$5)</f>
        <v>46044</v>
      </c>
      <c r="Y31" s="142" t="n">
        <f>IF(Y$5="","",Y$5)</f>
        <v>46045</v>
      </c>
      <c r="Z31" s="142" t="n">
        <f>IF(Z$5="","",Z$5)</f>
        <v>46046</v>
      </c>
      <c r="AA31" s="142" t="n">
        <f>IF(AA$5="","",AA$5)</f>
        <v>46047</v>
      </c>
      <c r="AB31" s="142" t="n">
        <f>IF(AB$5="","",AB$5)</f>
        <v>46048</v>
      </c>
      <c r="AC31" s="142" t="n">
        <f>IF(AC$5="","",AC$5)</f>
        <v>46049</v>
      </c>
      <c r="AD31" s="142" t="n">
        <f>IF(AD$5="","",AD$5)</f>
        <v>46050</v>
      </c>
      <c r="AE31" s="142" t="n">
        <f>IF(AE$5="","",AE$5)</f>
        <v>46051</v>
      </c>
      <c r="AF31" s="142" t="n">
        <f>IF(AF$5="","",AF$5)</f>
        <v>46052</v>
      </c>
      <c r="AG31" s="142" t="n">
        <f>IF(AG$5="","",AG$5)</f>
        <v>46053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summary'!$C$4,1,1),DATE('Billable summary'!$C$4,2,0))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52" priority="1">
      <formula>OR(C$5="",WEEKDAY(C$5,2)&gt;5)</formula>
    </cfRule>
    <cfRule type="expression" dxfId="53" priority="2">
      <formula>AND(C$5="",NOT(ISBLANK(C7)))</formula>
    </cfRule>
  </conditionalFormatting>
  <conditionalFormatting sqref="C20:AG25">
    <cfRule type="expression" dxfId="54" priority="3">
      <formula>OR(C$5="",WEEKDAY(C$5,2)&gt;5)</formula>
    </cfRule>
    <cfRule type="expression" dxfId="55" priority="4">
      <formula>AND(C$5="",NOT(ISBLANK(C20)))</formula>
    </cfRule>
  </conditionalFormatting>
  <conditionalFormatting sqref="C32:AG35">
    <cfRule type="expression" dxfId="56" priority="5">
      <formula>OR(C$5="",WEEKDAY(C$5,2)&gt;5)</formula>
    </cfRule>
    <cfRule type="expression" dxfId="57" priority="6">
      <formula>AND(C$5="",NOT(ISBLANK(C32)))</formula>
    </cfRule>
  </conditionalFormatting>
  <conditionalFormatting sqref="I43:K43">
    <cfRule type="expression" dxfId="58" priority="7">
      <formula>AND(ISNUMBER($I$43),$I$43&gt;=$I$44)</formula>
    </cfRule>
    <cfRule type="expression" dxfId="59" priority="8">
      <formula>AND(ISNUMBER($I$43),$I$43&lt;$I$44)</formula>
    </cfRule>
  </conditionalFormatting>
  <conditionalFormatting sqref="B51:AH51">
    <cfRule type="containsText" dxfId="60" priority="9" operator="containsText" text="Check"/>
    <cfRule type="containsText" dxfId="61" priority="10" operator="containsText" text="Invalid"/>
    <cfRule type="containsText" dxfId="62" priority="11" operator="containsText" text="Negative"/>
    <cfRule type="containsText" dxfId="6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summary'!$C$4,2,1),"mmmm yyyy")</f>
        <v>February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summary'!$C$4,3,0)),DATE('Billable summary'!$C$4,2,1),"")</f>
        <v>46054</v>
      </c>
      <c r="D5" s="48" t="n">
        <f>IF(2&lt;=DAY(DATE('Billable summary'!$C$4,3,0)),DATE('Billable summary'!$C$4,2,2),"")</f>
        <v>46055</v>
      </c>
      <c r="E5" s="48" t="n">
        <f>IF(3&lt;=DAY(DATE('Billable summary'!$C$4,3,0)),DATE('Billable summary'!$C$4,2,3),"")</f>
        <v>46056</v>
      </c>
      <c r="F5" s="48" t="n">
        <f>IF(4&lt;=DAY(DATE('Billable summary'!$C$4,3,0)),DATE('Billable summary'!$C$4,2,4),"")</f>
        <v>46057</v>
      </c>
      <c r="G5" s="48" t="n">
        <f>IF(5&lt;=DAY(DATE('Billable summary'!$C$4,3,0)),DATE('Billable summary'!$C$4,2,5),"")</f>
        <v>46058</v>
      </c>
      <c r="H5" s="48" t="n">
        <f>IF(6&lt;=DAY(DATE('Billable summary'!$C$4,3,0)),DATE('Billable summary'!$C$4,2,6),"")</f>
        <v>46059</v>
      </c>
      <c r="I5" s="48" t="n">
        <f>IF(7&lt;=DAY(DATE('Billable summary'!$C$4,3,0)),DATE('Billable summary'!$C$4,2,7),"")</f>
        <v>46060</v>
      </c>
      <c r="J5" s="48" t="n">
        <f>IF(8&lt;=DAY(DATE('Billable summary'!$C$4,3,0)),DATE('Billable summary'!$C$4,2,8),"")</f>
        <v>46061</v>
      </c>
      <c r="K5" s="48" t="n">
        <f>IF(9&lt;=DAY(DATE('Billable summary'!$C$4,3,0)),DATE('Billable summary'!$C$4,2,9),"")</f>
        <v>46062</v>
      </c>
      <c r="L5" s="48" t="n">
        <f>IF(10&lt;=DAY(DATE('Billable summary'!$C$4,3,0)),DATE('Billable summary'!$C$4,2,10),"")</f>
        <v>46063</v>
      </c>
      <c r="M5" s="48" t="n">
        <f>IF(11&lt;=DAY(DATE('Billable summary'!$C$4,3,0)),DATE('Billable summary'!$C$4,2,11),"")</f>
        <v>46064</v>
      </c>
      <c r="N5" s="48" t="n">
        <f>IF(12&lt;=DAY(DATE('Billable summary'!$C$4,3,0)),DATE('Billable summary'!$C$4,2,12),"")</f>
        <v>46065</v>
      </c>
      <c r="O5" s="48" t="n">
        <f>IF(13&lt;=DAY(DATE('Billable summary'!$C$4,3,0)),DATE('Billable summary'!$C$4,2,13),"")</f>
        <v>46066</v>
      </c>
      <c r="P5" s="48" t="n">
        <f>IF(14&lt;=DAY(DATE('Billable summary'!$C$4,3,0)),DATE('Billable summary'!$C$4,2,14),"")</f>
        <v>46067</v>
      </c>
      <c r="Q5" s="48" t="n">
        <f>IF(15&lt;=DAY(DATE('Billable summary'!$C$4,3,0)),DATE('Billable summary'!$C$4,2,15),"")</f>
        <v>46068</v>
      </c>
      <c r="R5" s="48" t="n">
        <f>IF(16&lt;=DAY(DATE('Billable summary'!$C$4,3,0)),DATE('Billable summary'!$C$4,2,16),"")</f>
        <v>46069</v>
      </c>
      <c r="S5" s="48" t="n">
        <f>IF(17&lt;=DAY(DATE('Billable summary'!$C$4,3,0)),DATE('Billable summary'!$C$4,2,17),"")</f>
        <v>46070</v>
      </c>
      <c r="T5" s="48" t="n">
        <f>IF(18&lt;=DAY(DATE('Billable summary'!$C$4,3,0)),DATE('Billable summary'!$C$4,2,18),"")</f>
        <v>46071</v>
      </c>
      <c r="U5" s="48" t="n">
        <f>IF(19&lt;=DAY(DATE('Billable summary'!$C$4,3,0)),DATE('Billable summary'!$C$4,2,19),"")</f>
        <v>46072</v>
      </c>
      <c r="V5" s="48" t="n">
        <f>IF(20&lt;=DAY(DATE('Billable summary'!$C$4,3,0)),DATE('Billable summary'!$C$4,2,20),"")</f>
        <v>46073</v>
      </c>
      <c r="W5" s="48" t="n">
        <f>IF(21&lt;=DAY(DATE('Billable summary'!$C$4,3,0)),DATE('Billable summary'!$C$4,2,21),"")</f>
        <v>46074</v>
      </c>
      <c r="X5" s="48" t="n">
        <f>IF(22&lt;=DAY(DATE('Billable summary'!$C$4,3,0)),DATE('Billable summary'!$C$4,2,22),"")</f>
        <v>46075</v>
      </c>
      <c r="Y5" s="48" t="n">
        <f>IF(23&lt;=DAY(DATE('Billable summary'!$C$4,3,0)),DATE('Billable summary'!$C$4,2,23),"")</f>
        <v>46076</v>
      </c>
      <c r="Z5" s="48" t="n">
        <f>IF(24&lt;=DAY(DATE('Billable summary'!$C$4,3,0)),DATE('Billable summary'!$C$4,2,24),"")</f>
        <v>46077</v>
      </c>
      <c r="AA5" s="48" t="n">
        <f>IF(25&lt;=DAY(DATE('Billable summary'!$C$4,3,0)),DATE('Billable summary'!$C$4,2,25),"")</f>
        <v>46078</v>
      </c>
      <c r="AB5" s="48" t="n">
        <f>IF(26&lt;=DAY(DATE('Billable summary'!$C$4,3,0)),DATE('Billable summary'!$C$4,2,26),"")</f>
        <v>46079</v>
      </c>
      <c r="AC5" s="48" t="n">
        <f>IF(27&lt;=DAY(DATE('Billable summary'!$C$4,3,0)),DATE('Billable summary'!$C$4,2,27),"")</f>
        <v>46080</v>
      </c>
      <c r="AD5" s="48" t="n">
        <f>IF(28&lt;=DAY(DATE('Billable summary'!$C$4,3,0)),DATE('Billable summary'!$C$4,2,28),"")</f>
        <v>46081</v>
      </c>
      <c r="AE5" s="48" t="str">
        <f>IF(29&lt;=DAY(DATE('Billable summary'!$C$4,3,0)),DATE('Billable summary'!$C$4,2,29),"")</f>
      </c>
      <c r="AF5" s="48" t="str">
        <f>IF(30&lt;=DAY(DATE('Billable summary'!$C$4,3,0)),DATE('Billable summary'!$C$4,2,30),"")</f>
      </c>
      <c r="AG5" s="48" t="str">
        <f>IF(31&lt;=DAY(DATE('Billable summary'!$C$4,3,0)),DATE('Billable summary'!$C$4,2,31),"")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46054</v>
      </c>
      <c r="D6" s="142" t="n">
        <f>IF(D$5="","",D$5)</f>
        <v>46055</v>
      </c>
      <c r="E6" s="142" t="n">
        <f>IF(E$5="","",E$5)</f>
        <v>46056</v>
      </c>
      <c r="F6" s="142" t="n">
        <f>IF(F$5="","",F$5)</f>
        <v>46057</v>
      </c>
      <c r="G6" s="142" t="n">
        <f>IF(G$5="","",G$5)</f>
        <v>46058</v>
      </c>
      <c r="H6" s="142" t="n">
        <f>IF(H$5="","",H$5)</f>
        <v>46059</v>
      </c>
      <c r="I6" s="142" t="n">
        <f>IF(I$5="","",I$5)</f>
        <v>46060</v>
      </c>
      <c r="J6" s="142" t="n">
        <f>IF(J$5="","",J$5)</f>
        <v>46061</v>
      </c>
      <c r="K6" s="142" t="n">
        <f>IF(K$5="","",K$5)</f>
        <v>46062</v>
      </c>
      <c r="L6" s="142" t="n">
        <f>IF(L$5="","",L$5)</f>
        <v>46063</v>
      </c>
      <c r="M6" s="142" t="n">
        <f>IF(M$5="","",M$5)</f>
        <v>46064</v>
      </c>
      <c r="N6" s="142" t="n">
        <f>IF(N$5="","",N$5)</f>
        <v>46065</v>
      </c>
      <c r="O6" s="142" t="n">
        <f>IF(O$5="","",O$5)</f>
        <v>46066</v>
      </c>
      <c r="P6" s="142" t="n">
        <f>IF(P$5="","",P$5)</f>
        <v>46067</v>
      </c>
      <c r="Q6" s="142" t="n">
        <f>IF(Q$5="","",Q$5)</f>
        <v>46068</v>
      </c>
      <c r="R6" s="142" t="n">
        <f>IF(R$5="","",R$5)</f>
        <v>46069</v>
      </c>
      <c r="S6" s="142" t="n">
        <f>IF(S$5="","",S$5)</f>
        <v>46070</v>
      </c>
      <c r="T6" s="142" t="n">
        <f>IF(T$5="","",T$5)</f>
        <v>46071</v>
      </c>
      <c r="U6" s="142" t="n">
        <f>IF(U$5="","",U$5)</f>
        <v>46072</v>
      </c>
      <c r="V6" s="142" t="n">
        <f>IF(V$5="","",V$5)</f>
        <v>46073</v>
      </c>
      <c r="W6" s="142" t="n">
        <f>IF(W$5="","",W$5)</f>
        <v>46074</v>
      </c>
      <c r="X6" s="142" t="n">
        <f>IF(X$5="","",X$5)</f>
        <v>46075</v>
      </c>
      <c r="Y6" s="142" t="n">
        <f>IF(Y$5="","",Y$5)</f>
        <v>46076</v>
      </c>
      <c r="Z6" s="142" t="n">
        <f>IF(Z$5="","",Z$5)</f>
        <v>46077</v>
      </c>
      <c r="AA6" s="142" t="n">
        <f>IF(AA$5="","",AA$5)</f>
        <v>46078</v>
      </c>
      <c r="AB6" s="142" t="n">
        <f>IF(AB$5="","",AB$5)</f>
        <v>46079</v>
      </c>
      <c r="AC6" s="142" t="n">
        <f>IF(AC$5="","",AC$5)</f>
        <v>46080</v>
      </c>
      <c r="AD6" s="142" t="n">
        <f>IF(AD$5="","",AD$5)</f>
        <v>46081</v>
      </c>
      <c r="AE6" s="142" t="str">
        <f>IF(AE$5="","",AE$5)</f>
      </c>
      <c r="AF6" s="142" t="str">
        <f>IF(AF$5="","",AF$5)</f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str">
        <f>IF(AE$5="","",SUM(AE7:AE16))</f>
      </c>
      <c r="AF17" s="146" t="str">
        <f>IF(AF$5="","",SUM(AF7:AF16))</f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46054</v>
      </c>
      <c r="D19" s="142" t="n">
        <f>IF(D$5="","",D$5)</f>
        <v>46055</v>
      </c>
      <c r="E19" s="142" t="n">
        <f>IF(E$5="","",E$5)</f>
        <v>46056</v>
      </c>
      <c r="F19" s="142" t="n">
        <f>IF(F$5="","",F$5)</f>
        <v>46057</v>
      </c>
      <c r="G19" s="142" t="n">
        <f>IF(G$5="","",G$5)</f>
        <v>46058</v>
      </c>
      <c r="H19" s="142" t="n">
        <f>IF(H$5="","",H$5)</f>
        <v>46059</v>
      </c>
      <c r="I19" s="142" t="n">
        <f>IF(I$5="","",I$5)</f>
        <v>46060</v>
      </c>
      <c r="J19" s="142" t="n">
        <f>IF(J$5="","",J$5)</f>
        <v>46061</v>
      </c>
      <c r="K19" s="142" t="n">
        <f>IF(K$5="","",K$5)</f>
        <v>46062</v>
      </c>
      <c r="L19" s="142" t="n">
        <f>IF(L$5="","",L$5)</f>
        <v>46063</v>
      </c>
      <c r="M19" s="142" t="n">
        <f>IF(M$5="","",M$5)</f>
        <v>46064</v>
      </c>
      <c r="N19" s="142" t="n">
        <f>IF(N$5="","",N$5)</f>
        <v>46065</v>
      </c>
      <c r="O19" s="142" t="n">
        <f>IF(O$5="","",O$5)</f>
        <v>46066</v>
      </c>
      <c r="P19" s="142" t="n">
        <f>IF(P$5="","",P$5)</f>
        <v>46067</v>
      </c>
      <c r="Q19" s="142" t="n">
        <f>IF(Q$5="","",Q$5)</f>
        <v>46068</v>
      </c>
      <c r="R19" s="142" t="n">
        <f>IF(R$5="","",R$5)</f>
        <v>46069</v>
      </c>
      <c r="S19" s="142" t="n">
        <f>IF(S$5="","",S$5)</f>
        <v>46070</v>
      </c>
      <c r="T19" s="142" t="n">
        <f>IF(T$5="","",T$5)</f>
        <v>46071</v>
      </c>
      <c r="U19" s="142" t="n">
        <f>IF(U$5="","",U$5)</f>
        <v>46072</v>
      </c>
      <c r="V19" s="142" t="n">
        <f>IF(V$5="","",V$5)</f>
        <v>46073</v>
      </c>
      <c r="W19" s="142" t="n">
        <f>IF(W$5="","",W$5)</f>
        <v>46074</v>
      </c>
      <c r="X19" s="142" t="n">
        <f>IF(X$5="","",X$5)</f>
        <v>46075</v>
      </c>
      <c r="Y19" s="142" t="n">
        <f>IF(Y$5="","",Y$5)</f>
        <v>46076</v>
      </c>
      <c r="Z19" s="142" t="n">
        <f>IF(Z$5="","",Z$5)</f>
        <v>46077</v>
      </c>
      <c r="AA19" s="142" t="n">
        <f>IF(AA$5="","",AA$5)</f>
        <v>46078</v>
      </c>
      <c r="AB19" s="142" t="n">
        <f>IF(AB$5="","",AB$5)</f>
        <v>46079</v>
      </c>
      <c r="AC19" s="142" t="n">
        <f>IF(AC$5="","",AC$5)</f>
        <v>46080</v>
      </c>
      <c r="AD19" s="142" t="n">
        <f>IF(AD$5="","",AD$5)</f>
        <v>46081</v>
      </c>
      <c r="AE19" s="142" t="str">
        <f>IF(AE$5="","",AE$5)</f>
      </c>
      <c r="AF19" s="142" t="str">
        <f>IF(AF$5="","",AF$5)</f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str">
        <f>IF(AE$5="","",SUM(AE20:AE25))</f>
      </c>
      <c r="AF26" s="146" t="str">
        <f>IF(AF$5="","",SUM(AF20:AF25))</f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str">
        <f>IF(AE$5="","",SUM(AE17,AE26))</f>
      </c>
      <c r="AF28" s="146" t="str">
        <f>IF(AF$5="","",SUM(AF17,AF26))</f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46054</v>
      </c>
      <c r="D30" s="48" t="n">
        <f>IF(D$5="","",D$5)</f>
        <v>46055</v>
      </c>
      <c r="E30" s="48" t="n">
        <f>IF(E$5="","",E$5)</f>
        <v>46056</v>
      </c>
      <c r="F30" s="48" t="n">
        <f>IF(F$5="","",F$5)</f>
        <v>46057</v>
      </c>
      <c r="G30" s="48" t="n">
        <f>IF(G$5="","",G$5)</f>
        <v>46058</v>
      </c>
      <c r="H30" s="48" t="n">
        <f>IF(H$5="","",H$5)</f>
        <v>46059</v>
      </c>
      <c r="I30" s="48" t="n">
        <f>IF(I$5="","",I$5)</f>
        <v>46060</v>
      </c>
      <c r="J30" s="48" t="n">
        <f>IF(J$5="","",J$5)</f>
        <v>46061</v>
      </c>
      <c r="K30" s="48" t="n">
        <f>IF(K$5="","",K$5)</f>
        <v>46062</v>
      </c>
      <c r="L30" s="48" t="n">
        <f>IF(L$5="","",L$5)</f>
        <v>46063</v>
      </c>
      <c r="M30" s="48" t="n">
        <f>IF(M$5="","",M$5)</f>
        <v>46064</v>
      </c>
      <c r="N30" s="48" t="n">
        <f>IF(N$5="","",N$5)</f>
        <v>46065</v>
      </c>
      <c r="O30" s="48" t="n">
        <f>IF(O$5="","",O$5)</f>
        <v>46066</v>
      </c>
      <c r="P30" s="48" t="n">
        <f>IF(P$5="","",P$5)</f>
        <v>46067</v>
      </c>
      <c r="Q30" s="48" t="n">
        <f>IF(Q$5="","",Q$5)</f>
        <v>46068</v>
      </c>
      <c r="R30" s="48" t="n">
        <f>IF(R$5="","",R$5)</f>
        <v>46069</v>
      </c>
      <c r="S30" s="48" t="n">
        <f>IF(S$5="","",S$5)</f>
        <v>46070</v>
      </c>
      <c r="T30" s="48" t="n">
        <f>IF(T$5="","",T$5)</f>
        <v>46071</v>
      </c>
      <c r="U30" s="48" t="n">
        <f>IF(U$5="","",U$5)</f>
        <v>46072</v>
      </c>
      <c r="V30" s="48" t="n">
        <f>IF(V$5="","",V$5)</f>
        <v>46073</v>
      </c>
      <c r="W30" s="48" t="n">
        <f>IF(W$5="","",W$5)</f>
        <v>46074</v>
      </c>
      <c r="X30" s="48" t="n">
        <f>IF(X$5="","",X$5)</f>
        <v>46075</v>
      </c>
      <c r="Y30" s="48" t="n">
        <f>IF(Y$5="","",Y$5)</f>
        <v>46076</v>
      </c>
      <c r="Z30" s="48" t="n">
        <f>IF(Z$5="","",Z$5)</f>
        <v>46077</v>
      </c>
      <c r="AA30" s="48" t="n">
        <f>IF(AA$5="","",AA$5)</f>
        <v>46078</v>
      </c>
      <c r="AB30" s="48" t="n">
        <f>IF(AB$5="","",AB$5)</f>
        <v>46079</v>
      </c>
      <c r="AC30" s="48" t="n">
        <f>IF(AC$5="","",AC$5)</f>
        <v>46080</v>
      </c>
      <c r="AD30" s="48" t="n">
        <f>IF(AD$5="","",AD$5)</f>
        <v>46081</v>
      </c>
      <c r="AE30" s="48" t="str">
        <f>IF(AE$5="","",AE$5)</f>
      </c>
      <c r="AF30" s="48" t="str">
        <f>IF(AF$5="","",AF$5)</f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46054</v>
      </c>
      <c r="D31" s="142" t="n">
        <f>IF(D$5="","",D$5)</f>
        <v>46055</v>
      </c>
      <c r="E31" s="142" t="n">
        <f>IF(E$5="","",E$5)</f>
        <v>46056</v>
      </c>
      <c r="F31" s="142" t="n">
        <f>IF(F$5="","",F$5)</f>
        <v>46057</v>
      </c>
      <c r="G31" s="142" t="n">
        <f>IF(G$5="","",G$5)</f>
        <v>46058</v>
      </c>
      <c r="H31" s="142" t="n">
        <f>IF(H$5="","",H$5)</f>
        <v>46059</v>
      </c>
      <c r="I31" s="142" t="n">
        <f>IF(I$5="","",I$5)</f>
        <v>46060</v>
      </c>
      <c r="J31" s="142" t="n">
        <f>IF(J$5="","",J$5)</f>
        <v>46061</v>
      </c>
      <c r="K31" s="142" t="n">
        <f>IF(K$5="","",K$5)</f>
        <v>46062</v>
      </c>
      <c r="L31" s="142" t="n">
        <f>IF(L$5="","",L$5)</f>
        <v>46063</v>
      </c>
      <c r="M31" s="142" t="n">
        <f>IF(M$5="","",M$5)</f>
        <v>46064</v>
      </c>
      <c r="N31" s="142" t="n">
        <f>IF(N$5="","",N$5)</f>
        <v>46065</v>
      </c>
      <c r="O31" s="142" t="n">
        <f>IF(O$5="","",O$5)</f>
        <v>46066</v>
      </c>
      <c r="P31" s="142" t="n">
        <f>IF(P$5="","",P$5)</f>
        <v>46067</v>
      </c>
      <c r="Q31" s="142" t="n">
        <f>IF(Q$5="","",Q$5)</f>
        <v>46068</v>
      </c>
      <c r="R31" s="142" t="n">
        <f>IF(R$5="","",R$5)</f>
        <v>46069</v>
      </c>
      <c r="S31" s="142" t="n">
        <f>IF(S$5="","",S$5)</f>
        <v>46070</v>
      </c>
      <c r="T31" s="142" t="n">
        <f>IF(T$5="","",T$5)</f>
        <v>46071</v>
      </c>
      <c r="U31" s="142" t="n">
        <f>IF(U$5="","",U$5)</f>
        <v>46072</v>
      </c>
      <c r="V31" s="142" t="n">
        <f>IF(V$5="","",V$5)</f>
        <v>46073</v>
      </c>
      <c r="W31" s="142" t="n">
        <f>IF(W$5="","",W$5)</f>
        <v>46074</v>
      </c>
      <c r="X31" s="142" t="n">
        <f>IF(X$5="","",X$5)</f>
        <v>46075</v>
      </c>
      <c r="Y31" s="142" t="n">
        <f>IF(Y$5="","",Y$5)</f>
        <v>46076</v>
      </c>
      <c r="Z31" s="142" t="n">
        <f>IF(Z$5="","",Z$5)</f>
        <v>46077</v>
      </c>
      <c r="AA31" s="142" t="n">
        <f>IF(AA$5="","",AA$5)</f>
        <v>46078</v>
      </c>
      <c r="AB31" s="142" t="n">
        <f>IF(AB$5="","",AB$5)</f>
        <v>46079</v>
      </c>
      <c r="AC31" s="142" t="n">
        <f>IF(AC$5="","",AC$5)</f>
        <v>46080</v>
      </c>
      <c r="AD31" s="142" t="n">
        <f>IF(AD$5="","",AD$5)</f>
        <v>46081</v>
      </c>
      <c r="AE31" s="142" t="str">
        <f>IF(AE$5="","",AE$5)</f>
      </c>
      <c r="AF31" s="142" t="str">
        <f>IF(AF$5="","",AF$5)</f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str">
        <f>IF(AE$5="","",SUM(AE32:AE35))</f>
      </c>
      <c r="AF36" s="146" t="str">
        <f>IF(AF$5="","",SUM(AF32:AF35))</f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summary'!$C$4,2,1),DATE('Billable summary'!$C$4,3,0))</f>
        <v>20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160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120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120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64" priority="1">
      <formula>OR(C$5="",WEEKDAY(C$5,2)&gt;5)</formula>
    </cfRule>
    <cfRule type="expression" dxfId="65" priority="2">
      <formula>AND(C$5="",NOT(ISBLANK(C7)))</formula>
    </cfRule>
  </conditionalFormatting>
  <conditionalFormatting sqref="C20:AG25">
    <cfRule type="expression" dxfId="66" priority="3">
      <formula>OR(C$5="",WEEKDAY(C$5,2)&gt;5)</formula>
    </cfRule>
    <cfRule type="expression" dxfId="67" priority="4">
      <formula>AND(C$5="",NOT(ISBLANK(C20)))</formula>
    </cfRule>
  </conditionalFormatting>
  <conditionalFormatting sqref="C32:AG35">
    <cfRule type="expression" dxfId="68" priority="5">
      <formula>OR(C$5="",WEEKDAY(C$5,2)&gt;5)</formula>
    </cfRule>
    <cfRule type="expression" dxfId="69" priority="6">
      <formula>AND(C$5="",NOT(ISBLANK(C32)))</formula>
    </cfRule>
  </conditionalFormatting>
  <conditionalFormatting sqref="I43:K43">
    <cfRule type="expression" dxfId="70" priority="7">
      <formula>AND(ISNUMBER($I$43),$I$43&gt;=$I$44)</formula>
    </cfRule>
    <cfRule type="expression" dxfId="71" priority="8">
      <formula>AND(ISNUMBER($I$43),$I$43&lt;$I$44)</formula>
    </cfRule>
  </conditionalFormatting>
  <conditionalFormatting sqref="B51:AH51">
    <cfRule type="containsText" dxfId="72" priority="9" operator="containsText" text="Check"/>
    <cfRule type="containsText" dxfId="73" priority="10" operator="containsText" text="Invalid"/>
    <cfRule type="containsText" dxfId="74" priority="11" operator="containsText" text="Negative"/>
    <cfRule type="containsText" dxfId="7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summary'!$C$4,3,1),"mmmm yyyy")</f>
        <v>March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summary'!$C$4,4,0)),DATE('Billable summary'!$C$4,3,1),"")</f>
        <v>46082</v>
      </c>
      <c r="D5" s="48" t="n">
        <f>IF(2&lt;=DAY(DATE('Billable summary'!$C$4,4,0)),DATE('Billable summary'!$C$4,3,2),"")</f>
        <v>46083</v>
      </c>
      <c r="E5" s="48" t="n">
        <f>IF(3&lt;=DAY(DATE('Billable summary'!$C$4,4,0)),DATE('Billable summary'!$C$4,3,3),"")</f>
        <v>46084</v>
      </c>
      <c r="F5" s="48" t="n">
        <f>IF(4&lt;=DAY(DATE('Billable summary'!$C$4,4,0)),DATE('Billable summary'!$C$4,3,4),"")</f>
        <v>46085</v>
      </c>
      <c r="G5" s="48" t="n">
        <f>IF(5&lt;=DAY(DATE('Billable summary'!$C$4,4,0)),DATE('Billable summary'!$C$4,3,5),"")</f>
        <v>46086</v>
      </c>
      <c r="H5" s="48" t="n">
        <f>IF(6&lt;=DAY(DATE('Billable summary'!$C$4,4,0)),DATE('Billable summary'!$C$4,3,6),"")</f>
        <v>46087</v>
      </c>
      <c r="I5" s="48" t="n">
        <f>IF(7&lt;=DAY(DATE('Billable summary'!$C$4,4,0)),DATE('Billable summary'!$C$4,3,7),"")</f>
        <v>46088</v>
      </c>
      <c r="J5" s="48" t="n">
        <f>IF(8&lt;=DAY(DATE('Billable summary'!$C$4,4,0)),DATE('Billable summary'!$C$4,3,8),"")</f>
        <v>46089</v>
      </c>
      <c r="K5" s="48" t="n">
        <f>IF(9&lt;=DAY(DATE('Billable summary'!$C$4,4,0)),DATE('Billable summary'!$C$4,3,9),"")</f>
        <v>46090</v>
      </c>
      <c r="L5" s="48" t="n">
        <f>IF(10&lt;=DAY(DATE('Billable summary'!$C$4,4,0)),DATE('Billable summary'!$C$4,3,10),"")</f>
        <v>46091</v>
      </c>
      <c r="M5" s="48" t="n">
        <f>IF(11&lt;=DAY(DATE('Billable summary'!$C$4,4,0)),DATE('Billable summary'!$C$4,3,11),"")</f>
        <v>46092</v>
      </c>
      <c r="N5" s="48" t="n">
        <f>IF(12&lt;=DAY(DATE('Billable summary'!$C$4,4,0)),DATE('Billable summary'!$C$4,3,12),"")</f>
        <v>46093</v>
      </c>
      <c r="O5" s="48" t="n">
        <f>IF(13&lt;=DAY(DATE('Billable summary'!$C$4,4,0)),DATE('Billable summary'!$C$4,3,13),"")</f>
        <v>46094</v>
      </c>
      <c r="P5" s="48" t="n">
        <f>IF(14&lt;=DAY(DATE('Billable summary'!$C$4,4,0)),DATE('Billable summary'!$C$4,3,14),"")</f>
        <v>46095</v>
      </c>
      <c r="Q5" s="48" t="n">
        <f>IF(15&lt;=DAY(DATE('Billable summary'!$C$4,4,0)),DATE('Billable summary'!$C$4,3,15),"")</f>
        <v>46096</v>
      </c>
      <c r="R5" s="48" t="n">
        <f>IF(16&lt;=DAY(DATE('Billable summary'!$C$4,4,0)),DATE('Billable summary'!$C$4,3,16),"")</f>
        <v>46097</v>
      </c>
      <c r="S5" s="48" t="n">
        <f>IF(17&lt;=DAY(DATE('Billable summary'!$C$4,4,0)),DATE('Billable summary'!$C$4,3,17),"")</f>
        <v>46098</v>
      </c>
      <c r="T5" s="48" t="n">
        <f>IF(18&lt;=DAY(DATE('Billable summary'!$C$4,4,0)),DATE('Billable summary'!$C$4,3,18),"")</f>
        <v>46099</v>
      </c>
      <c r="U5" s="48" t="n">
        <f>IF(19&lt;=DAY(DATE('Billable summary'!$C$4,4,0)),DATE('Billable summary'!$C$4,3,19),"")</f>
        <v>46100</v>
      </c>
      <c r="V5" s="48" t="n">
        <f>IF(20&lt;=DAY(DATE('Billable summary'!$C$4,4,0)),DATE('Billable summary'!$C$4,3,20),"")</f>
        <v>46101</v>
      </c>
      <c r="W5" s="48" t="n">
        <f>IF(21&lt;=DAY(DATE('Billable summary'!$C$4,4,0)),DATE('Billable summary'!$C$4,3,21),"")</f>
        <v>46102</v>
      </c>
      <c r="X5" s="48" t="n">
        <f>IF(22&lt;=DAY(DATE('Billable summary'!$C$4,4,0)),DATE('Billable summary'!$C$4,3,22),"")</f>
        <v>46103</v>
      </c>
      <c r="Y5" s="48" t="n">
        <f>IF(23&lt;=DAY(DATE('Billable summary'!$C$4,4,0)),DATE('Billable summary'!$C$4,3,23),"")</f>
        <v>46104</v>
      </c>
      <c r="Z5" s="48" t="n">
        <f>IF(24&lt;=DAY(DATE('Billable summary'!$C$4,4,0)),DATE('Billable summary'!$C$4,3,24),"")</f>
        <v>46105</v>
      </c>
      <c r="AA5" s="48" t="n">
        <f>IF(25&lt;=DAY(DATE('Billable summary'!$C$4,4,0)),DATE('Billable summary'!$C$4,3,25),"")</f>
        <v>46106</v>
      </c>
      <c r="AB5" s="48" t="n">
        <f>IF(26&lt;=DAY(DATE('Billable summary'!$C$4,4,0)),DATE('Billable summary'!$C$4,3,26),"")</f>
        <v>46107</v>
      </c>
      <c r="AC5" s="48" t="n">
        <f>IF(27&lt;=DAY(DATE('Billable summary'!$C$4,4,0)),DATE('Billable summary'!$C$4,3,27),"")</f>
        <v>46108</v>
      </c>
      <c r="AD5" s="48" t="n">
        <f>IF(28&lt;=DAY(DATE('Billable summary'!$C$4,4,0)),DATE('Billable summary'!$C$4,3,28),"")</f>
        <v>46109</v>
      </c>
      <c r="AE5" s="48" t="n">
        <f>IF(29&lt;=DAY(DATE('Billable summary'!$C$4,4,0)),DATE('Billable summary'!$C$4,3,29),"")</f>
        <v>46110</v>
      </c>
      <c r="AF5" s="48" t="n">
        <f>IF(30&lt;=DAY(DATE('Billable summary'!$C$4,4,0)),DATE('Billable summary'!$C$4,3,30),"")</f>
        <v>46111</v>
      </c>
      <c r="AG5" s="48" t="n">
        <f>IF(31&lt;=DAY(DATE('Billable summary'!$C$4,4,0)),DATE('Billable summary'!$C$4,3,31),"")</f>
        <v>46112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46082</v>
      </c>
      <c r="D6" s="142" t="n">
        <f>IF(D$5="","",D$5)</f>
        <v>46083</v>
      </c>
      <c r="E6" s="142" t="n">
        <f>IF(E$5="","",E$5)</f>
        <v>46084</v>
      </c>
      <c r="F6" s="142" t="n">
        <f>IF(F$5="","",F$5)</f>
        <v>46085</v>
      </c>
      <c r="G6" s="142" t="n">
        <f>IF(G$5="","",G$5)</f>
        <v>46086</v>
      </c>
      <c r="H6" s="142" t="n">
        <f>IF(H$5="","",H$5)</f>
        <v>46087</v>
      </c>
      <c r="I6" s="142" t="n">
        <f>IF(I$5="","",I$5)</f>
        <v>46088</v>
      </c>
      <c r="J6" s="142" t="n">
        <f>IF(J$5="","",J$5)</f>
        <v>46089</v>
      </c>
      <c r="K6" s="142" t="n">
        <f>IF(K$5="","",K$5)</f>
        <v>46090</v>
      </c>
      <c r="L6" s="142" t="n">
        <f>IF(L$5="","",L$5)</f>
        <v>46091</v>
      </c>
      <c r="M6" s="142" t="n">
        <f>IF(M$5="","",M$5)</f>
        <v>46092</v>
      </c>
      <c r="N6" s="142" t="n">
        <f>IF(N$5="","",N$5)</f>
        <v>46093</v>
      </c>
      <c r="O6" s="142" t="n">
        <f>IF(O$5="","",O$5)</f>
        <v>46094</v>
      </c>
      <c r="P6" s="142" t="n">
        <f>IF(P$5="","",P$5)</f>
        <v>46095</v>
      </c>
      <c r="Q6" s="142" t="n">
        <f>IF(Q$5="","",Q$5)</f>
        <v>46096</v>
      </c>
      <c r="R6" s="142" t="n">
        <f>IF(R$5="","",R$5)</f>
        <v>46097</v>
      </c>
      <c r="S6" s="142" t="n">
        <f>IF(S$5="","",S$5)</f>
        <v>46098</v>
      </c>
      <c r="T6" s="142" t="n">
        <f>IF(T$5="","",T$5)</f>
        <v>46099</v>
      </c>
      <c r="U6" s="142" t="n">
        <f>IF(U$5="","",U$5)</f>
        <v>46100</v>
      </c>
      <c r="V6" s="142" t="n">
        <f>IF(V$5="","",V$5)</f>
        <v>46101</v>
      </c>
      <c r="W6" s="142" t="n">
        <f>IF(W$5="","",W$5)</f>
        <v>46102</v>
      </c>
      <c r="X6" s="142" t="n">
        <f>IF(X$5="","",X$5)</f>
        <v>46103</v>
      </c>
      <c r="Y6" s="142" t="n">
        <f>IF(Y$5="","",Y$5)</f>
        <v>46104</v>
      </c>
      <c r="Z6" s="142" t="n">
        <f>IF(Z$5="","",Z$5)</f>
        <v>46105</v>
      </c>
      <c r="AA6" s="142" t="n">
        <f>IF(AA$5="","",AA$5)</f>
        <v>46106</v>
      </c>
      <c r="AB6" s="142" t="n">
        <f>IF(AB$5="","",AB$5)</f>
        <v>46107</v>
      </c>
      <c r="AC6" s="142" t="n">
        <f>IF(AC$5="","",AC$5)</f>
        <v>46108</v>
      </c>
      <c r="AD6" s="142" t="n">
        <f>IF(AD$5="","",AD$5)</f>
        <v>46109</v>
      </c>
      <c r="AE6" s="142" t="n">
        <f>IF(AE$5="","",AE$5)</f>
        <v>46110</v>
      </c>
      <c r="AF6" s="142" t="n">
        <f>IF(AF$5="","",AF$5)</f>
        <v>46111</v>
      </c>
      <c r="AG6" s="142" t="n">
        <f>IF(AG$5="","",AG$5)</f>
        <v>46112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46082</v>
      </c>
      <c r="D19" s="142" t="n">
        <f>IF(D$5="","",D$5)</f>
        <v>46083</v>
      </c>
      <c r="E19" s="142" t="n">
        <f>IF(E$5="","",E$5)</f>
        <v>46084</v>
      </c>
      <c r="F19" s="142" t="n">
        <f>IF(F$5="","",F$5)</f>
        <v>46085</v>
      </c>
      <c r="G19" s="142" t="n">
        <f>IF(G$5="","",G$5)</f>
        <v>46086</v>
      </c>
      <c r="H19" s="142" t="n">
        <f>IF(H$5="","",H$5)</f>
        <v>46087</v>
      </c>
      <c r="I19" s="142" t="n">
        <f>IF(I$5="","",I$5)</f>
        <v>46088</v>
      </c>
      <c r="J19" s="142" t="n">
        <f>IF(J$5="","",J$5)</f>
        <v>46089</v>
      </c>
      <c r="K19" s="142" t="n">
        <f>IF(K$5="","",K$5)</f>
        <v>46090</v>
      </c>
      <c r="L19" s="142" t="n">
        <f>IF(L$5="","",L$5)</f>
        <v>46091</v>
      </c>
      <c r="M19" s="142" t="n">
        <f>IF(M$5="","",M$5)</f>
        <v>46092</v>
      </c>
      <c r="N19" s="142" t="n">
        <f>IF(N$5="","",N$5)</f>
        <v>46093</v>
      </c>
      <c r="O19" s="142" t="n">
        <f>IF(O$5="","",O$5)</f>
        <v>46094</v>
      </c>
      <c r="P19" s="142" t="n">
        <f>IF(P$5="","",P$5)</f>
        <v>46095</v>
      </c>
      <c r="Q19" s="142" t="n">
        <f>IF(Q$5="","",Q$5)</f>
        <v>46096</v>
      </c>
      <c r="R19" s="142" t="n">
        <f>IF(R$5="","",R$5)</f>
        <v>46097</v>
      </c>
      <c r="S19" s="142" t="n">
        <f>IF(S$5="","",S$5)</f>
        <v>46098</v>
      </c>
      <c r="T19" s="142" t="n">
        <f>IF(T$5="","",T$5)</f>
        <v>46099</v>
      </c>
      <c r="U19" s="142" t="n">
        <f>IF(U$5="","",U$5)</f>
        <v>46100</v>
      </c>
      <c r="V19" s="142" t="n">
        <f>IF(V$5="","",V$5)</f>
        <v>46101</v>
      </c>
      <c r="W19" s="142" t="n">
        <f>IF(W$5="","",W$5)</f>
        <v>46102</v>
      </c>
      <c r="X19" s="142" t="n">
        <f>IF(X$5="","",X$5)</f>
        <v>46103</v>
      </c>
      <c r="Y19" s="142" t="n">
        <f>IF(Y$5="","",Y$5)</f>
        <v>46104</v>
      </c>
      <c r="Z19" s="142" t="n">
        <f>IF(Z$5="","",Z$5)</f>
        <v>46105</v>
      </c>
      <c r="AA19" s="142" t="n">
        <f>IF(AA$5="","",AA$5)</f>
        <v>46106</v>
      </c>
      <c r="AB19" s="142" t="n">
        <f>IF(AB$5="","",AB$5)</f>
        <v>46107</v>
      </c>
      <c r="AC19" s="142" t="n">
        <f>IF(AC$5="","",AC$5)</f>
        <v>46108</v>
      </c>
      <c r="AD19" s="142" t="n">
        <f>IF(AD$5="","",AD$5)</f>
        <v>46109</v>
      </c>
      <c r="AE19" s="142" t="n">
        <f>IF(AE$5="","",AE$5)</f>
        <v>46110</v>
      </c>
      <c r="AF19" s="142" t="n">
        <f>IF(AF$5="","",AF$5)</f>
        <v>46111</v>
      </c>
      <c r="AG19" s="142" t="n">
        <f>IF(AG$5="","",AG$5)</f>
        <v>46112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46082</v>
      </c>
      <c r="D30" s="48" t="n">
        <f>IF(D$5="","",D$5)</f>
        <v>46083</v>
      </c>
      <c r="E30" s="48" t="n">
        <f>IF(E$5="","",E$5)</f>
        <v>46084</v>
      </c>
      <c r="F30" s="48" t="n">
        <f>IF(F$5="","",F$5)</f>
        <v>46085</v>
      </c>
      <c r="G30" s="48" t="n">
        <f>IF(G$5="","",G$5)</f>
        <v>46086</v>
      </c>
      <c r="H30" s="48" t="n">
        <f>IF(H$5="","",H$5)</f>
        <v>46087</v>
      </c>
      <c r="I30" s="48" t="n">
        <f>IF(I$5="","",I$5)</f>
        <v>46088</v>
      </c>
      <c r="J30" s="48" t="n">
        <f>IF(J$5="","",J$5)</f>
        <v>46089</v>
      </c>
      <c r="K30" s="48" t="n">
        <f>IF(K$5="","",K$5)</f>
        <v>46090</v>
      </c>
      <c r="L30" s="48" t="n">
        <f>IF(L$5="","",L$5)</f>
        <v>46091</v>
      </c>
      <c r="M30" s="48" t="n">
        <f>IF(M$5="","",M$5)</f>
        <v>46092</v>
      </c>
      <c r="N30" s="48" t="n">
        <f>IF(N$5="","",N$5)</f>
        <v>46093</v>
      </c>
      <c r="O30" s="48" t="n">
        <f>IF(O$5="","",O$5)</f>
        <v>46094</v>
      </c>
      <c r="P30" s="48" t="n">
        <f>IF(P$5="","",P$5)</f>
        <v>46095</v>
      </c>
      <c r="Q30" s="48" t="n">
        <f>IF(Q$5="","",Q$5)</f>
        <v>46096</v>
      </c>
      <c r="R30" s="48" t="n">
        <f>IF(R$5="","",R$5)</f>
        <v>46097</v>
      </c>
      <c r="S30" s="48" t="n">
        <f>IF(S$5="","",S$5)</f>
        <v>46098</v>
      </c>
      <c r="T30" s="48" t="n">
        <f>IF(T$5="","",T$5)</f>
        <v>46099</v>
      </c>
      <c r="U30" s="48" t="n">
        <f>IF(U$5="","",U$5)</f>
        <v>46100</v>
      </c>
      <c r="V30" s="48" t="n">
        <f>IF(V$5="","",V$5)</f>
        <v>46101</v>
      </c>
      <c r="W30" s="48" t="n">
        <f>IF(W$5="","",W$5)</f>
        <v>46102</v>
      </c>
      <c r="X30" s="48" t="n">
        <f>IF(X$5="","",X$5)</f>
        <v>46103</v>
      </c>
      <c r="Y30" s="48" t="n">
        <f>IF(Y$5="","",Y$5)</f>
        <v>46104</v>
      </c>
      <c r="Z30" s="48" t="n">
        <f>IF(Z$5="","",Z$5)</f>
        <v>46105</v>
      </c>
      <c r="AA30" s="48" t="n">
        <f>IF(AA$5="","",AA$5)</f>
        <v>46106</v>
      </c>
      <c r="AB30" s="48" t="n">
        <f>IF(AB$5="","",AB$5)</f>
        <v>46107</v>
      </c>
      <c r="AC30" s="48" t="n">
        <f>IF(AC$5="","",AC$5)</f>
        <v>46108</v>
      </c>
      <c r="AD30" s="48" t="n">
        <f>IF(AD$5="","",AD$5)</f>
        <v>46109</v>
      </c>
      <c r="AE30" s="48" t="n">
        <f>IF(AE$5="","",AE$5)</f>
        <v>46110</v>
      </c>
      <c r="AF30" s="48" t="n">
        <f>IF(AF$5="","",AF$5)</f>
        <v>46111</v>
      </c>
      <c r="AG30" s="48" t="n">
        <f>IF(AG$5="","",AG$5)</f>
        <v>46112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46082</v>
      </c>
      <c r="D31" s="142" t="n">
        <f>IF(D$5="","",D$5)</f>
        <v>46083</v>
      </c>
      <c r="E31" s="142" t="n">
        <f>IF(E$5="","",E$5)</f>
        <v>46084</v>
      </c>
      <c r="F31" s="142" t="n">
        <f>IF(F$5="","",F$5)</f>
        <v>46085</v>
      </c>
      <c r="G31" s="142" t="n">
        <f>IF(G$5="","",G$5)</f>
        <v>46086</v>
      </c>
      <c r="H31" s="142" t="n">
        <f>IF(H$5="","",H$5)</f>
        <v>46087</v>
      </c>
      <c r="I31" s="142" t="n">
        <f>IF(I$5="","",I$5)</f>
        <v>46088</v>
      </c>
      <c r="J31" s="142" t="n">
        <f>IF(J$5="","",J$5)</f>
        <v>46089</v>
      </c>
      <c r="K31" s="142" t="n">
        <f>IF(K$5="","",K$5)</f>
        <v>46090</v>
      </c>
      <c r="L31" s="142" t="n">
        <f>IF(L$5="","",L$5)</f>
        <v>46091</v>
      </c>
      <c r="M31" s="142" t="n">
        <f>IF(M$5="","",M$5)</f>
        <v>46092</v>
      </c>
      <c r="N31" s="142" t="n">
        <f>IF(N$5="","",N$5)</f>
        <v>46093</v>
      </c>
      <c r="O31" s="142" t="n">
        <f>IF(O$5="","",O$5)</f>
        <v>46094</v>
      </c>
      <c r="P31" s="142" t="n">
        <f>IF(P$5="","",P$5)</f>
        <v>46095</v>
      </c>
      <c r="Q31" s="142" t="n">
        <f>IF(Q$5="","",Q$5)</f>
        <v>46096</v>
      </c>
      <c r="R31" s="142" t="n">
        <f>IF(R$5="","",R$5)</f>
        <v>46097</v>
      </c>
      <c r="S31" s="142" t="n">
        <f>IF(S$5="","",S$5)</f>
        <v>46098</v>
      </c>
      <c r="T31" s="142" t="n">
        <f>IF(T$5="","",T$5)</f>
        <v>46099</v>
      </c>
      <c r="U31" s="142" t="n">
        <f>IF(U$5="","",U$5)</f>
        <v>46100</v>
      </c>
      <c r="V31" s="142" t="n">
        <f>IF(V$5="","",V$5)</f>
        <v>46101</v>
      </c>
      <c r="W31" s="142" t="n">
        <f>IF(W$5="","",W$5)</f>
        <v>46102</v>
      </c>
      <c r="X31" s="142" t="n">
        <f>IF(X$5="","",X$5)</f>
        <v>46103</v>
      </c>
      <c r="Y31" s="142" t="n">
        <f>IF(Y$5="","",Y$5)</f>
        <v>46104</v>
      </c>
      <c r="Z31" s="142" t="n">
        <f>IF(Z$5="","",Z$5)</f>
        <v>46105</v>
      </c>
      <c r="AA31" s="142" t="n">
        <f>IF(AA$5="","",AA$5)</f>
        <v>46106</v>
      </c>
      <c r="AB31" s="142" t="n">
        <f>IF(AB$5="","",AB$5)</f>
        <v>46107</v>
      </c>
      <c r="AC31" s="142" t="n">
        <f>IF(AC$5="","",AC$5)</f>
        <v>46108</v>
      </c>
      <c r="AD31" s="142" t="n">
        <f>IF(AD$5="","",AD$5)</f>
        <v>46109</v>
      </c>
      <c r="AE31" s="142" t="n">
        <f>IF(AE$5="","",AE$5)</f>
        <v>46110</v>
      </c>
      <c r="AF31" s="142" t="n">
        <f>IF(AF$5="","",AF$5)</f>
        <v>46111</v>
      </c>
      <c r="AG31" s="142" t="n">
        <f>IF(AG$5="","",AG$5)</f>
        <v>46112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summary'!$C$4,3,1),DATE('Billable summary'!$C$4,4,0))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76" priority="1">
      <formula>OR(C$5="",WEEKDAY(C$5,2)&gt;5)</formula>
    </cfRule>
    <cfRule type="expression" dxfId="77" priority="2">
      <formula>AND(C$5="",NOT(ISBLANK(C7)))</formula>
    </cfRule>
  </conditionalFormatting>
  <conditionalFormatting sqref="C20:AG25">
    <cfRule type="expression" dxfId="78" priority="3">
      <formula>OR(C$5="",WEEKDAY(C$5,2)&gt;5)</formula>
    </cfRule>
    <cfRule type="expression" dxfId="79" priority="4">
      <formula>AND(C$5="",NOT(ISBLANK(C20)))</formula>
    </cfRule>
  </conditionalFormatting>
  <conditionalFormatting sqref="C32:AG35">
    <cfRule type="expression" dxfId="80" priority="5">
      <formula>OR(C$5="",WEEKDAY(C$5,2)&gt;5)</formula>
    </cfRule>
    <cfRule type="expression" dxfId="81" priority="6">
      <formula>AND(C$5="",NOT(ISBLANK(C32)))</formula>
    </cfRule>
  </conditionalFormatting>
  <conditionalFormatting sqref="I43:K43">
    <cfRule type="expression" dxfId="82" priority="7">
      <formula>AND(ISNUMBER($I$43),$I$43&gt;=$I$44)</formula>
    </cfRule>
    <cfRule type="expression" dxfId="83" priority="8">
      <formula>AND(ISNUMBER($I$43),$I$43&lt;$I$44)</formula>
    </cfRule>
  </conditionalFormatting>
  <conditionalFormatting sqref="B51:AH51">
    <cfRule type="containsText" dxfId="84" priority="9" operator="containsText" text="Check"/>
    <cfRule type="containsText" dxfId="85" priority="10" operator="containsText" text="Invalid"/>
    <cfRule type="containsText" dxfId="86" priority="11" operator="containsText" text="Negative"/>
    <cfRule type="containsText" dxfId="8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summary'!$C$4,4,1),"mmmm yyyy")</f>
        <v>April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summary'!$C$4,5,0)),DATE('Billable summary'!$C$4,4,1),"")</f>
        <v>46113</v>
      </c>
      <c r="D5" s="48" t="n">
        <f>IF(2&lt;=DAY(DATE('Billable summary'!$C$4,5,0)),DATE('Billable summary'!$C$4,4,2),"")</f>
        <v>46114</v>
      </c>
      <c r="E5" s="48" t="n">
        <f>IF(3&lt;=DAY(DATE('Billable summary'!$C$4,5,0)),DATE('Billable summary'!$C$4,4,3),"")</f>
        <v>46115</v>
      </c>
      <c r="F5" s="48" t="n">
        <f>IF(4&lt;=DAY(DATE('Billable summary'!$C$4,5,0)),DATE('Billable summary'!$C$4,4,4),"")</f>
        <v>46116</v>
      </c>
      <c r="G5" s="48" t="n">
        <f>IF(5&lt;=DAY(DATE('Billable summary'!$C$4,5,0)),DATE('Billable summary'!$C$4,4,5),"")</f>
        <v>46117</v>
      </c>
      <c r="H5" s="48" t="n">
        <f>IF(6&lt;=DAY(DATE('Billable summary'!$C$4,5,0)),DATE('Billable summary'!$C$4,4,6),"")</f>
        <v>46118</v>
      </c>
      <c r="I5" s="48" t="n">
        <f>IF(7&lt;=DAY(DATE('Billable summary'!$C$4,5,0)),DATE('Billable summary'!$C$4,4,7),"")</f>
        <v>46119</v>
      </c>
      <c r="J5" s="48" t="n">
        <f>IF(8&lt;=DAY(DATE('Billable summary'!$C$4,5,0)),DATE('Billable summary'!$C$4,4,8),"")</f>
        <v>46120</v>
      </c>
      <c r="K5" s="48" t="n">
        <f>IF(9&lt;=DAY(DATE('Billable summary'!$C$4,5,0)),DATE('Billable summary'!$C$4,4,9),"")</f>
        <v>46121</v>
      </c>
      <c r="L5" s="48" t="n">
        <f>IF(10&lt;=DAY(DATE('Billable summary'!$C$4,5,0)),DATE('Billable summary'!$C$4,4,10),"")</f>
        <v>46122</v>
      </c>
      <c r="M5" s="48" t="n">
        <f>IF(11&lt;=DAY(DATE('Billable summary'!$C$4,5,0)),DATE('Billable summary'!$C$4,4,11),"")</f>
        <v>46123</v>
      </c>
      <c r="N5" s="48" t="n">
        <f>IF(12&lt;=DAY(DATE('Billable summary'!$C$4,5,0)),DATE('Billable summary'!$C$4,4,12),"")</f>
        <v>46124</v>
      </c>
      <c r="O5" s="48" t="n">
        <f>IF(13&lt;=DAY(DATE('Billable summary'!$C$4,5,0)),DATE('Billable summary'!$C$4,4,13),"")</f>
        <v>46125</v>
      </c>
      <c r="P5" s="48" t="n">
        <f>IF(14&lt;=DAY(DATE('Billable summary'!$C$4,5,0)),DATE('Billable summary'!$C$4,4,14),"")</f>
        <v>46126</v>
      </c>
      <c r="Q5" s="48" t="n">
        <f>IF(15&lt;=DAY(DATE('Billable summary'!$C$4,5,0)),DATE('Billable summary'!$C$4,4,15),"")</f>
        <v>46127</v>
      </c>
      <c r="R5" s="48" t="n">
        <f>IF(16&lt;=DAY(DATE('Billable summary'!$C$4,5,0)),DATE('Billable summary'!$C$4,4,16),"")</f>
        <v>46128</v>
      </c>
      <c r="S5" s="48" t="n">
        <f>IF(17&lt;=DAY(DATE('Billable summary'!$C$4,5,0)),DATE('Billable summary'!$C$4,4,17),"")</f>
        <v>46129</v>
      </c>
      <c r="T5" s="48" t="n">
        <f>IF(18&lt;=DAY(DATE('Billable summary'!$C$4,5,0)),DATE('Billable summary'!$C$4,4,18),"")</f>
        <v>46130</v>
      </c>
      <c r="U5" s="48" t="n">
        <f>IF(19&lt;=DAY(DATE('Billable summary'!$C$4,5,0)),DATE('Billable summary'!$C$4,4,19),"")</f>
        <v>46131</v>
      </c>
      <c r="V5" s="48" t="n">
        <f>IF(20&lt;=DAY(DATE('Billable summary'!$C$4,5,0)),DATE('Billable summary'!$C$4,4,20),"")</f>
        <v>46132</v>
      </c>
      <c r="W5" s="48" t="n">
        <f>IF(21&lt;=DAY(DATE('Billable summary'!$C$4,5,0)),DATE('Billable summary'!$C$4,4,21),"")</f>
        <v>46133</v>
      </c>
      <c r="X5" s="48" t="n">
        <f>IF(22&lt;=DAY(DATE('Billable summary'!$C$4,5,0)),DATE('Billable summary'!$C$4,4,22),"")</f>
        <v>46134</v>
      </c>
      <c r="Y5" s="48" t="n">
        <f>IF(23&lt;=DAY(DATE('Billable summary'!$C$4,5,0)),DATE('Billable summary'!$C$4,4,23),"")</f>
        <v>46135</v>
      </c>
      <c r="Z5" s="48" t="n">
        <f>IF(24&lt;=DAY(DATE('Billable summary'!$C$4,5,0)),DATE('Billable summary'!$C$4,4,24),"")</f>
        <v>46136</v>
      </c>
      <c r="AA5" s="48" t="n">
        <f>IF(25&lt;=DAY(DATE('Billable summary'!$C$4,5,0)),DATE('Billable summary'!$C$4,4,25),"")</f>
        <v>46137</v>
      </c>
      <c r="AB5" s="48" t="n">
        <f>IF(26&lt;=DAY(DATE('Billable summary'!$C$4,5,0)),DATE('Billable summary'!$C$4,4,26),"")</f>
        <v>46138</v>
      </c>
      <c r="AC5" s="48" t="n">
        <f>IF(27&lt;=DAY(DATE('Billable summary'!$C$4,5,0)),DATE('Billable summary'!$C$4,4,27),"")</f>
        <v>46139</v>
      </c>
      <c r="AD5" s="48" t="n">
        <f>IF(28&lt;=DAY(DATE('Billable summary'!$C$4,5,0)),DATE('Billable summary'!$C$4,4,28),"")</f>
        <v>46140</v>
      </c>
      <c r="AE5" s="48" t="n">
        <f>IF(29&lt;=DAY(DATE('Billable summary'!$C$4,5,0)),DATE('Billable summary'!$C$4,4,29),"")</f>
        <v>46141</v>
      </c>
      <c r="AF5" s="48" t="n">
        <f>IF(30&lt;=DAY(DATE('Billable summary'!$C$4,5,0)),DATE('Billable summary'!$C$4,4,30),"")</f>
        <v>46142</v>
      </c>
      <c r="AG5" s="48" t="str">
        <f>IF(31&lt;=DAY(DATE('Billable summary'!$C$4,5,0)),DATE('Billable summary'!$C$4,4,31),"")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46113</v>
      </c>
      <c r="D6" s="142" t="n">
        <f>IF(D$5="","",D$5)</f>
        <v>46114</v>
      </c>
      <c r="E6" s="142" t="n">
        <f>IF(E$5="","",E$5)</f>
        <v>46115</v>
      </c>
      <c r="F6" s="142" t="n">
        <f>IF(F$5="","",F$5)</f>
        <v>46116</v>
      </c>
      <c r="G6" s="142" t="n">
        <f>IF(G$5="","",G$5)</f>
        <v>46117</v>
      </c>
      <c r="H6" s="142" t="n">
        <f>IF(H$5="","",H$5)</f>
        <v>46118</v>
      </c>
      <c r="I6" s="142" t="n">
        <f>IF(I$5="","",I$5)</f>
        <v>46119</v>
      </c>
      <c r="J6" s="142" t="n">
        <f>IF(J$5="","",J$5)</f>
        <v>46120</v>
      </c>
      <c r="K6" s="142" t="n">
        <f>IF(K$5="","",K$5)</f>
        <v>46121</v>
      </c>
      <c r="L6" s="142" t="n">
        <f>IF(L$5="","",L$5)</f>
        <v>46122</v>
      </c>
      <c r="M6" s="142" t="n">
        <f>IF(M$5="","",M$5)</f>
        <v>46123</v>
      </c>
      <c r="N6" s="142" t="n">
        <f>IF(N$5="","",N$5)</f>
        <v>46124</v>
      </c>
      <c r="O6" s="142" t="n">
        <f>IF(O$5="","",O$5)</f>
        <v>46125</v>
      </c>
      <c r="P6" s="142" t="n">
        <f>IF(P$5="","",P$5)</f>
        <v>46126</v>
      </c>
      <c r="Q6" s="142" t="n">
        <f>IF(Q$5="","",Q$5)</f>
        <v>46127</v>
      </c>
      <c r="R6" s="142" t="n">
        <f>IF(R$5="","",R$5)</f>
        <v>46128</v>
      </c>
      <c r="S6" s="142" t="n">
        <f>IF(S$5="","",S$5)</f>
        <v>46129</v>
      </c>
      <c r="T6" s="142" t="n">
        <f>IF(T$5="","",T$5)</f>
        <v>46130</v>
      </c>
      <c r="U6" s="142" t="n">
        <f>IF(U$5="","",U$5)</f>
        <v>46131</v>
      </c>
      <c r="V6" s="142" t="n">
        <f>IF(V$5="","",V$5)</f>
        <v>46132</v>
      </c>
      <c r="W6" s="142" t="n">
        <f>IF(W$5="","",W$5)</f>
        <v>46133</v>
      </c>
      <c r="X6" s="142" t="n">
        <f>IF(X$5="","",X$5)</f>
        <v>46134</v>
      </c>
      <c r="Y6" s="142" t="n">
        <f>IF(Y$5="","",Y$5)</f>
        <v>46135</v>
      </c>
      <c r="Z6" s="142" t="n">
        <f>IF(Z$5="","",Z$5)</f>
        <v>46136</v>
      </c>
      <c r="AA6" s="142" t="n">
        <f>IF(AA$5="","",AA$5)</f>
        <v>46137</v>
      </c>
      <c r="AB6" s="142" t="n">
        <f>IF(AB$5="","",AB$5)</f>
        <v>46138</v>
      </c>
      <c r="AC6" s="142" t="n">
        <f>IF(AC$5="","",AC$5)</f>
        <v>46139</v>
      </c>
      <c r="AD6" s="142" t="n">
        <f>IF(AD$5="","",AD$5)</f>
        <v>46140</v>
      </c>
      <c r="AE6" s="142" t="n">
        <f>IF(AE$5="","",AE$5)</f>
        <v>46141</v>
      </c>
      <c r="AF6" s="142" t="n">
        <f>IF(AF$5="","",AF$5)</f>
        <v>46142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46113</v>
      </c>
      <c r="D19" s="142" t="n">
        <f>IF(D$5="","",D$5)</f>
        <v>46114</v>
      </c>
      <c r="E19" s="142" t="n">
        <f>IF(E$5="","",E$5)</f>
        <v>46115</v>
      </c>
      <c r="F19" s="142" t="n">
        <f>IF(F$5="","",F$5)</f>
        <v>46116</v>
      </c>
      <c r="G19" s="142" t="n">
        <f>IF(G$5="","",G$5)</f>
        <v>46117</v>
      </c>
      <c r="H19" s="142" t="n">
        <f>IF(H$5="","",H$5)</f>
        <v>46118</v>
      </c>
      <c r="I19" s="142" t="n">
        <f>IF(I$5="","",I$5)</f>
        <v>46119</v>
      </c>
      <c r="J19" s="142" t="n">
        <f>IF(J$5="","",J$5)</f>
        <v>46120</v>
      </c>
      <c r="K19" s="142" t="n">
        <f>IF(K$5="","",K$5)</f>
        <v>46121</v>
      </c>
      <c r="L19" s="142" t="n">
        <f>IF(L$5="","",L$5)</f>
        <v>46122</v>
      </c>
      <c r="M19" s="142" t="n">
        <f>IF(M$5="","",M$5)</f>
        <v>46123</v>
      </c>
      <c r="N19" s="142" t="n">
        <f>IF(N$5="","",N$5)</f>
        <v>46124</v>
      </c>
      <c r="O19" s="142" t="n">
        <f>IF(O$5="","",O$5)</f>
        <v>46125</v>
      </c>
      <c r="P19" s="142" t="n">
        <f>IF(P$5="","",P$5)</f>
        <v>46126</v>
      </c>
      <c r="Q19" s="142" t="n">
        <f>IF(Q$5="","",Q$5)</f>
        <v>46127</v>
      </c>
      <c r="R19" s="142" t="n">
        <f>IF(R$5="","",R$5)</f>
        <v>46128</v>
      </c>
      <c r="S19" s="142" t="n">
        <f>IF(S$5="","",S$5)</f>
        <v>46129</v>
      </c>
      <c r="T19" s="142" t="n">
        <f>IF(T$5="","",T$5)</f>
        <v>46130</v>
      </c>
      <c r="U19" s="142" t="n">
        <f>IF(U$5="","",U$5)</f>
        <v>46131</v>
      </c>
      <c r="V19" s="142" t="n">
        <f>IF(V$5="","",V$5)</f>
        <v>46132</v>
      </c>
      <c r="W19" s="142" t="n">
        <f>IF(W$5="","",W$5)</f>
        <v>46133</v>
      </c>
      <c r="X19" s="142" t="n">
        <f>IF(X$5="","",X$5)</f>
        <v>46134</v>
      </c>
      <c r="Y19" s="142" t="n">
        <f>IF(Y$5="","",Y$5)</f>
        <v>46135</v>
      </c>
      <c r="Z19" s="142" t="n">
        <f>IF(Z$5="","",Z$5)</f>
        <v>46136</v>
      </c>
      <c r="AA19" s="142" t="n">
        <f>IF(AA$5="","",AA$5)</f>
        <v>46137</v>
      </c>
      <c r="AB19" s="142" t="n">
        <f>IF(AB$5="","",AB$5)</f>
        <v>46138</v>
      </c>
      <c r="AC19" s="142" t="n">
        <f>IF(AC$5="","",AC$5)</f>
        <v>46139</v>
      </c>
      <c r="AD19" s="142" t="n">
        <f>IF(AD$5="","",AD$5)</f>
        <v>46140</v>
      </c>
      <c r="AE19" s="142" t="n">
        <f>IF(AE$5="","",AE$5)</f>
        <v>46141</v>
      </c>
      <c r="AF19" s="142" t="n">
        <f>IF(AF$5="","",AF$5)</f>
        <v>46142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46113</v>
      </c>
      <c r="D30" s="48" t="n">
        <f>IF(D$5="","",D$5)</f>
        <v>46114</v>
      </c>
      <c r="E30" s="48" t="n">
        <f>IF(E$5="","",E$5)</f>
        <v>46115</v>
      </c>
      <c r="F30" s="48" t="n">
        <f>IF(F$5="","",F$5)</f>
        <v>46116</v>
      </c>
      <c r="G30" s="48" t="n">
        <f>IF(G$5="","",G$5)</f>
        <v>46117</v>
      </c>
      <c r="H30" s="48" t="n">
        <f>IF(H$5="","",H$5)</f>
        <v>46118</v>
      </c>
      <c r="I30" s="48" t="n">
        <f>IF(I$5="","",I$5)</f>
        <v>46119</v>
      </c>
      <c r="J30" s="48" t="n">
        <f>IF(J$5="","",J$5)</f>
        <v>46120</v>
      </c>
      <c r="K30" s="48" t="n">
        <f>IF(K$5="","",K$5)</f>
        <v>46121</v>
      </c>
      <c r="L30" s="48" t="n">
        <f>IF(L$5="","",L$5)</f>
        <v>46122</v>
      </c>
      <c r="M30" s="48" t="n">
        <f>IF(M$5="","",M$5)</f>
        <v>46123</v>
      </c>
      <c r="N30" s="48" t="n">
        <f>IF(N$5="","",N$5)</f>
        <v>46124</v>
      </c>
      <c r="O30" s="48" t="n">
        <f>IF(O$5="","",O$5)</f>
        <v>46125</v>
      </c>
      <c r="P30" s="48" t="n">
        <f>IF(P$5="","",P$5)</f>
        <v>46126</v>
      </c>
      <c r="Q30" s="48" t="n">
        <f>IF(Q$5="","",Q$5)</f>
        <v>46127</v>
      </c>
      <c r="R30" s="48" t="n">
        <f>IF(R$5="","",R$5)</f>
        <v>46128</v>
      </c>
      <c r="S30" s="48" t="n">
        <f>IF(S$5="","",S$5)</f>
        <v>46129</v>
      </c>
      <c r="T30" s="48" t="n">
        <f>IF(T$5="","",T$5)</f>
        <v>46130</v>
      </c>
      <c r="U30" s="48" t="n">
        <f>IF(U$5="","",U$5)</f>
        <v>46131</v>
      </c>
      <c r="V30" s="48" t="n">
        <f>IF(V$5="","",V$5)</f>
        <v>46132</v>
      </c>
      <c r="W30" s="48" t="n">
        <f>IF(W$5="","",W$5)</f>
        <v>46133</v>
      </c>
      <c r="X30" s="48" t="n">
        <f>IF(X$5="","",X$5)</f>
        <v>46134</v>
      </c>
      <c r="Y30" s="48" t="n">
        <f>IF(Y$5="","",Y$5)</f>
        <v>46135</v>
      </c>
      <c r="Z30" s="48" t="n">
        <f>IF(Z$5="","",Z$5)</f>
        <v>46136</v>
      </c>
      <c r="AA30" s="48" t="n">
        <f>IF(AA$5="","",AA$5)</f>
        <v>46137</v>
      </c>
      <c r="AB30" s="48" t="n">
        <f>IF(AB$5="","",AB$5)</f>
        <v>46138</v>
      </c>
      <c r="AC30" s="48" t="n">
        <f>IF(AC$5="","",AC$5)</f>
        <v>46139</v>
      </c>
      <c r="AD30" s="48" t="n">
        <f>IF(AD$5="","",AD$5)</f>
        <v>46140</v>
      </c>
      <c r="AE30" s="48" t="n">
        <f>IF(AE$5="","",AE$5)</f>
        <v>46141</v>
      </c>
      <c r="AF30" s="48" t="n">
        <f>IF(AF$5="","",AF$5)</f>
        <v>46142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46113</v>
      </c>
      <c r="D31" s="142" t="n">
        <f>IF(D$5="","",D$5)</f>
        <v>46114</v>
      </c>
      <c r="E31" s="142" t="n">
        <f>IF(E$5="","",E$5)</f>
        <v>46115</v>
      </c>
      <c r="F31" s="142" t="n">
        <f>IF(F$5="","",F$5)</f>
        <v>46116</v>
      </c>
      <c r="G31" s="142" t="n">
        <f>IF(G$5="","",G$5)</f>
        <v>46117</v>
      </c>
      <c r="H31" s="142" t="n">
        <f>IF(H$5="","",H$5)</f>
        <v>46118</v>
      </c>
      <c r="I31" s="142" t="n">
        <f>IF(I$5="","",I$5)</f>
        <v>46119</v>
      </c>
      <c r="J31" s="142" t="n">
        <f>IF(J$5="","",J$5)</f>
        <v>46120</v>
      </c>
      <c r="K31" s="142" t="n">
        <f>IF(K$5="","",K$5)</f>
        <v>46121</v>
      </c>
      <c r="L31" s="142" t="n">
        <f>IF(L$5="","",L$5)</f>
        <v>46122</v>
      </c>
      <c r="M31" s="142" t="n">
        <f>IF(M$5="","",M$5)</f>
        <v>46123</v>
      </c>
      <c r="N31" s="142" t="n">
        <f>IF(N$5="","",N$5)</f>
        <v>46124</v>
      </c>
      <c r="O31" s="142" t="n">
        <f>IF(O$5="","",O$5)</f>
        <v>46125</v>
      </c>
      <c r="P31" s="142" t="n">
        <f>IF(P$5="","",P$5)</f>
        <v>46126</v>
      </c>
      <c r="Q31" s="142" t="n">
        <f>IF(Q$5="","",Q$5)</f>
        <v>46127</v>
      </c>
      <c r="R31" s="142" t="n">
        <f>IF(R$5="","",R$5)</f>
        <v>46128</v>
      </c>
      <c r="S31" s="142" t="n">
        <f>IF(S$5="","",S$5)</f>
        <v>46129</v>
      </c>
      <c r="T31" s="142" t="n">
        <f>IF(T$5="","",T$5)</f>
        <v>46130</v>
      </c>
      <c r="U31" s="142" t="n">
        <f>IF(U$5="","",U$5)</f>
        <v>46131</v>
      </c>
      <c r="V31" s="142" t="n">
        <f>IF(V$5="","",V$5)</f>
        <v>46132</v>
      </c>
      <c r="W31" s="142" t="n">
        <f>IF(W$5="","",W$5)</f>
        <v>46133</v>
      </c>
      <c r="X31" s="142" t="n">
        <f>IF(X$5="","",X$5)</f>
        <v>46134</v>
      </c>
      <c r="Y31" s="142" t="n">
        <f>IF(Y$5="","",Y$5)</f>
        <v>46135</v>
      </c>
      <c r="Z31" s="142" t="n">
        <f>IF(Z$5="","",Z$5)</f>
        <v>46136</v>
      </c>
      <c r="AA31" s="142" t="n">
        <f>IF(AA$5="","",AA$5)</f>
        <v>46137</v>
      </c>
      <c r="AB31" s="142" t="n">
        <f>IF(AB$5="","",AB$5)</f>
        <v>46138</v>
      </c>
      <c r="AC31" s="142" t="n">
        <f>IF(AC$5="","",AC$5)</f>
        <v>46139</v>
      </c>
      <c r="AD31" s="142" t="n">
        <f>IF(AD$5="","",AD$5)</f>
        <v>46140</v>
      </c>
      <c r="AE31" s="142" t="n">
        <f>IF(AE$5="","",AE$5)</f>
        <v>46141</v>
      </c>
      <c r="AF31" s="142" t="n">
        <f>IF(AF$5="","",AF$5)</f>
        <v>46142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summary'!$C$4,4,1),DATE('Billable summary'!$C$4,5,0))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88" priority="1">
      <formula>OR(C$5="",WEEKDAY(C$5,2)&gt;5)</formula>
    </cfRule>
    <cfRule type="expression" dxfId="89" priority="2">
      <formula>AND(C$5="",NOT(ISBLANK(C7)))</formula>
    </cfRule>
  </conditionalFormatting>
  <conditionalFormatting sqref="C20:AG25">
    <cfRule type="expression" dxfId="90" priority="3">
      <formula>OR(C$5="",WEEKDAY(C$5,2)&gt;5)</formula>
    </cfRule>
    <cfRule type="expression" dxfId="91" priority="4">
      <formula>AND(C$5="",NOT(ISBLANK(C20)))</formula>
    </cfRule>
  </conditionalFormatting>
  <conditionalFormatting sqref="C32:AG35">
    <cfRule type="expression" dxfId="92" priority="5">
      <formula>OR(C$5="",WEEKDAY(C$5,2)&gt;5)</formula>
    </cfRule>
    <cfRule type="expression" dxfId="93" priority="6">
      <formula>AND(C$5="",NOT(ISBLANK(C32)))</formula>
    </cfRule>
  </conditionalFormatting>
  <conditionalFormatting sqref="I43:K43">
    <cfRule type="expression" dxfId="94" priority="7">
      <formula>AND(ISNUMBER($I$43),$I$43&gt;=$I$44)</formula>
    </cfRule>
    <cfRule type="expression" dxfId="95" priority="8">
      <formula>AND(ISNUMBER($I$43),$I$43&lt;$I$44)</formula>
    </cfRule>
  </conditionalFormatting>
  <conditionalFormatting sqref="B51:AH51">
    <cfRule type="containsText" dxfId="96" priority="9" operator="containsText" text="Check"/>
    <cfRule type="containsText" dxfId="97" priority="10" operator="containsText" text="Invalid"/>
    <cfRule type="containsText" dxfId="98" priority="11" operator="containsText" text="Negative"/>
    <cfRule type="containsText" dxfId="9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summary'!$C$4,5,1),"mmmm yyyy")</f>
        <v>May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summary'!$C$4,6,0)),DATE('Billable summary'!$C$4,5,1),"")</f>
        <v>46143</v>
      </c>
      <c r="D5" s="48" t="n">
        <f>IF(2&lt;=DAY(DATE('Billable summary'!$C$4,6,0)),DATE('Billable summary'!$C$4,5,2),"")</f>
        <v>46144</v>
      </c>
      <c r="E5" s="48" t="n">
        <f>IF(3&lt;=DAY(DATE('Billable summary'!$C$4,6,0)),DATE('Billable summary'!$C$4,5,3),"")</f>
        <v>46145</v>
      </c>
      <c r="F5" s="48" t="n">
        <f>IF(4&lt;=DAY(DATE('Billable summary'!$C$4,6,0)),DATE('Billable summary'!$C$4,5,4),"")</f>
        <v>46146</v>
      </c>
      <c r="G5" s="48" t="n">
        <f>IF(5&lt;=DAY(DATE('Billable summary'!$C$4,6,0)),DATE('Billable summary'!$C$4,5,5),"")</f>
        <v>46147</v>
      </c>
      <c r="H5" s="48" t="n">
        <f>IF(6&lt;=DAY(DATE('Billable summary'!$C$4,6,0)),DATE('Billable summary'!$C$4,5,6),"")</f>
        <v>46148</v>
      </c>
      <c r="I5" s="48" t="n">
        <f>IF(7&lt;=DAY(DATE('Billable summary'!$C$4,6,0)),DATE('Billable summary'!$C$4,5,7),"")</f>
        <v>46149</v>
      </c>
      <c r="J5" s="48" t="n">
        <f>IF(8&lt;=DAY(DATE('Billable summary'!$C$4,6,0)),DATE('Billable summary'!$C$4,5,8),"")</f>
        <v>46150</v>
      </c>
      <c r="K5" s="48" t="n">
        <f>IF(9&lt;=DAY(DATE('Billable summary'!$C$4,6,0)),DATE('Billable summary'!$C$4,5,9),"")</f>
        <v>46151</v>
      </c>
      <c r="L5" s="48" t="n">
        <f>IF(10&lt;=DAY(DATE('Billable summary'!$C$4,6,0)),DATE('Billable summary'!$C$4,5,10),"")</f>
        <v>46152</v>
      </c>
      <c r="M5" s="48" t="n">
        <f>IF(11&lt;=DAY(DATE('Billable summary'!$C$4,6,0)),DATE('Billable summary'!$C$4,5,11),"")</f>
        <v>46153</v>
      </c>
      <c r="N5" s="48" t="n">
        <f>IF(12&lt;=DAY(DATE('Billable summary'!$C$4,6,0)),DATE('Billable summary'!$C$4,5,12),"")</f>
        <v>46154</v>
      </c>
      <c r="O5" s="48" t="n">
        <f>IF(13&lt;=DAY(DATE('Billable summary'!$C$4,6,0)),DATE('Billable summary'!$C$4,5,13),"")</f>
        <v>46155</v>
      </c>
      <c r="P5" s="48" t="n">
        <f>IF(14&lt;=DAY(DATE('Billable summary'!$C$4,6,0)),DATE('Billable summary'!$C$4,5,14),"")</f>
        <v>46156</v>
      </c>
      <c r="Q5" s="48" t="n">
        <f>IF(15&lt;=DAY(DATE('Billable summary'!$C$4,6,0)),DATE('Billable summary'!$C$4,5,15),"")</f>
        <v>46157</v>
      </c>
      <c r="R5" s="48" t="n">
        <f>IF(16&lt;=DAY(DATE('Billable summary'!$C$4,6,0)),DATE('Billable summary'!$C$4,5,16),"")</f>
        <v>46158</v>
      </c>
      <c r="S5" s="48" t="n">
        <f>IF(17&lt;=DAY(DATE('Billable summary'!$C$4,6,0)),DATE('Billable summary'!$C$4,5,17),"")</f>
        <v>46159</v>
      </c>
      <c r="T5" s="48" t="n">
        <f>IF(18&lt;=DAY(DATE('Billable summary'!$C$4,6,0)),DATE('Billable summary'!$C$4,5,18),"")</f>
        <v>46160</v>
      </c>
      <c r="U5" s="48" t="n">
        <f>IF(19&lt;=DAY(DATE('Billable summary'!$C$4,6,0)),DATE('Billable summary'!$C$4,5,19),"")</f>
        <v>46161</v>
      </c>
      <c r="V5" s="48" t="n">
        <f>IF(20&lt;=DAY(DATE('Billable summary'!$C$4,6,0)),DATE('Billable summary'!$C$4,5,20),"")</f>
        <v>46162</v>
      </c>
      <c r="W5" s="48" t="n">
        <f>IF(21&lt;=DAY(DATE('Billable summary'!$C$4,6,0)),DATE('Billable summary'!$C$4,5,21),"")</f>
        <v>46163</v>
      </c>
      <c r="X5" s="48" t="n">
        <f>IF(22&lt;=DAY(DATE('Billable summary'!$C$4,6,0)),DATE('Billable summary'!$C$4,5,22),"")</f>
        <v>46164</v>
      </c>
      <c r="Y5" s="48" t="n">
        <f>IF(23&lt;=DAY(DATE('Billable summary'!$C$4,6,0)),DATE('Billable summary'!$C$4,5,23),"")</f>
        <v>46165</v>
      </c>
      <c r="Z5" s="48" t="n">
        <f>IF(24&lt;=DAY(DATE('Billable summary'!$C$4,6,0)),DATE('Billable summary'!$C$4,5,24),"")</f>
        <v>46166</v>
      </c>
      <c r="AA5" s="48" t="n">
        <f>IF(25&lt;=DAY(DATE('Billable summary'!$C$4,6,0)),DATE('Billable summary'!$C$4,5,25),"")</f>
        <v>46167</v>
      </c>
      <c r="AB5" s="48" t="n">
        <f>IF(26&lt;=DAY(DATE('Billable summary'!$C$4,6,0)),DATE('Billable summary'!$C$4,5,26),"")</f>
        <v>46168</v>
      </c>
      <c r="AC5" s="48" t="n">
        <f>IF(27&lt;=DAY(DATE('Billable summary'!$C$4,6,0)),DATE('Billable summary'!$C$4,5,27),"")</f>
        <v>46169</v>
      </c>
      <c r="AD5" s="48" t="n">
        <f>IF(28&lt;=DAY(DATE('Billable summary'!$C$4,6,0)),DATE('Billable summary'!$C$4,5,28),"")</f>
        <v>46170</v>
      </c>
      <c r="AE5" s="48" t="n">
        <f>IF(29&lt;=DAY(DATE('Billable summary'!$C$4,6,0)),DATE('Billable summary'!$C$4,5,29),"")</f>
        <v>46171</v>
      </c>
      <c r="AF5" s="48" t="n">
        <f>IF(30&lt;=DAY(DATE('Billable summary'!$C$4,6,0)),DATE('Billable summary'!$C$4,5,30),"")</f>
        <v>46172</v>
      </c>
      <c r="AG5" s="48" t="n">
        <f>IF(31&lt;=DAY(DATE('Billable summary'!$C$4,6,0)),DATE('Billable summary'!$C$4,5,31),"")</f>
        <v>46173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46143</v>
      </c>
      <c r="D6" s="142" t="n">
        <f>IF(D$5="","",D$5)</f>
        <v>46144</v>
      </c>
      <c r="E6" s="142" t="n">
        <f>IF(E$5="","",E$5)</f>
        <v>46145</v>
      </c>
      <c r="F6" s="142" t="n">
        <f>IF(F$5="","",F$5)</f>
        <v>46146</v>
      </c>
      <c r="G6" s="142" t="n">
        <f>IF(G$5="","",G$5)</f>
        <v>46147</v>
      </c>
      <c r="H6" s="142" t="n">
        <f>IF(H$5="","",H$5)</f>
        <v>46148</v>
      </c>
      <c r="I6" s="142" t="n">
        <f>IF(I$5="","",I$5)</f>
        <v>46149</v>
      </c>
      <c r="J6" s="142" t="n">
        <f>IF(J$5="","",J$5)</f>
        <v>46150</v>
      </c>
      <c r="K6" s="142" t="n">
        <f>IF(K$5="","",K$5)</f>
        <v>46151</v>
      </c>
      <c r="L6" s="142" t="n">
        <f>IF(L$5="","",L$5)</f>
        <v>46152</v>
      </c>
      <c r="M6" s="142" t="n">
        <f>IF(M$5="","",M$5)</f>
        <v>46153</v>
      </c>
      <c r="N6" s="142" t="n">
        <f>IF(N$5="","",N$5)</f>
        <v>46154</v>
      </c>
      <c r="O6" s="142" t="n">
        <f>IF(O$5="","",O$5)</f>
        <v>46155</v>
      </c>
      <c r="P6" s="142" t="n">
        <f>IF(P$5="","",P$5)</f>
        <v>46156</v>
      </c>
      <c r="Q6" s="142" t="n">
        <f>IF(Q$5="","",Q$5)</f>
        <v>46157</v>
      </c>
      <c r="R6" s="142" t="n">
        <f>IF(R$5="","",R$5)</f>
        <v>46158</v>
      </c>
      <c r="S6" s="142" t="n">
        <f>IF(S$5="","",S$5)</f>
        <v>46159</v>
      </c>
      <c r="T6" s="142" t="n">
        <f>IF(T$5="","",T$5)</f>
        <v>46160</v>
      </c>
      <c r="U6" s="142" t="n">
        <f>IF(U$5="","",U$5)</f>
        <v>46161</v>
      </c>
      <c r="V6" s="142" t="n">
        <f>IF(V$5="","",V$5)</f>
        <v>46162</v>
      </c>
      <c r="W6" s="142" t="n">
        <f>IF(W$5="","",W$5)</f>
        <v>46163</v>
      </c>
      <c r="X6" s="142" t="n">
        <f>IF(X$5="","",X$5)</f>
        <v>46164</v>
      </c>
      <c r="Y6" s="142" t="n">
        <f>IF(Y$5="","",Y$5)</f>
        <v>46165</v>
      </c>
      <c r="Z6" s="142" t="n">
        <f>IF(Z$5="","",Z$5)</f>
        <v>46166</v>
      </c>
      <c r="AA6" s="142" t="n">
        <f>IF(AA$5="","",AA$5)</f>
        <v>46167</v>
      </c>
      <c r="AB6" s="142" t="n">
        <f>IF(AB$5="","",AB$5)</f>
        <v>46168</v>
      </c>
      <c r="AC6" s="142" t="n">
        <f>IF(AC$5="","",AC$5)</f>
        <v>46169</v>
      </c>
      <c r="AD6" s="142" t="n">
        <f>IF(AD$5="","",AD$5)</f>
        <v>46170</v>
      </c>
      <c r="AE6" s="142" t="n">
        <f>IF(AE$5="","",AE$5)</f>
        <v>46171</v>
      </c>
      <c r="AF6" s="142" t="n">
        <f>IF(AF$5="","",AF$5)</f>
        <v>46172</v>
      </c>
      <c r="AG6" s="142" t="n">
        <f>IF(AG$5="","",AG$5)</f>
        <v>46173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46143</v>
      </c>
      <c r="D19" s="142" t="n">
        <f>IF(D$5="","",D$5)</f>
        <v>46144</v>
      </c>
      <c r="E19" s="142" t="n">
        <f>IF(E$5="","",E$5)</f>
        <v>46145</v>
      </c>
      <c r="F19" s="142" t="n">
        <f>IF(F$5="","",F$5)</f>
        <v>46146</v>
      </c>
      <c r="G19" s="142" t="n">
        <f>IF(G$5="","",G$5)</f>
        <v>46147</v>
      </c>
      <c r="H19" s="142" t="n">
        <f>IF(H$5="","",H$5)</f>
        <v>46148</v>
      </c>
      <c r="I19" s="142" t="n">
        <f>IF(I$5="","",I$5)</f>
        <v>46149</v>
      </c>
      <c r="J19" s="142" t="n">
        <f>IF(J$5="","",J$5)</f>
        <v>46150</v>
      </c>
      <c r="K19" s="142" t="n">
        <f>IF(K$5="","",K$5)</f>
        <v>46151</v>
      </c>
      <c r="L19" s="142" t="n">
        <f>IF(L$5="","",L$5)</f>
        <v>46152</v>
      </c>
      <c r="M19" s="142" t="n">
        <f>IF(M$5="","",M$5)</f>
        <v>46153</v>
      </c>
      <c r="N19" s="142" t="n">
        <f>IF(N$5="","",N$5)</f>
        <v>46154</v>
      </c>
      <c r="O19" s="142" t="n">
        <f>IF(O$5="","",O$5)</f>
        <v>46155</v>
      </c>
      <c r="P19" s="142" t="n">
        <f>IF(P$5="","",P$5)</f>
        <v>46156</v>
      </c>
      <c r="Q19" s="142" t="n">
        <f>IF(Q$5="","",Q$5)</f>
        <v>46157</v>
      </c>
      <c r="R19" s="142" t="n">
        <f>IF(R$5="","",R$5)</f>
        <v>46158</v>
      </c>
      <c r="S19" s="142" t="n">
        <f>IF(S$5="","",S$5)</f>
        <v>46159</v>
      </c>
      <c r="T19" s="142" t="n">
        <f>IF(T$5="","",T$5)</f>
        <v>46160</v>
      </c>
      <c r="U19" s="142" t="n">
        <f>IF(U$5="","",U$5)</f>
        <v>46161</v>
      </c>
      <c r="V19" s="142" t="n">
        <f>IF(V$5="","",V$5)</f>
        <v>46162</v>
      </c>
      <c r="W19" s="142" t="n">
        <f>IF(W$5="","",W$5)</f>
        <v>46163</v>
      </c>
      <c r="X19" s="142" t="n">
        <f>IF(X$5="","",X$5)</f>
        <v>46164</v>
      </c>
      <c r="Y19" s="142" t="n">
        <f>IF(Y$5="","",Y$5)</f>
        <v>46165</v>
      </c>
      <c r="Z19" s="142" t="n">
        <f>IF(Z$5="","",Z$5)</f>
        <v>46166</v>
      </c>
      <c r="AA19" s="142" t="n">
        <f>IF(AA$5="","",AA$5)</f>
        <v>46167</v>
      </c>
      <c r="AB19" s="142" t="n">
        <f>IF(AB$5="","",AB$5)</f>
        <v>46168</v>
      </c>
      <c r="AC19" s="142" t="n">
        <f>IF(AC$5="","",AC$5)</f>
        <v>46169</v>
      </c>
      <c r="AD19" s="142" t="n">
        <f>IF(AD$5="","",AD$5)</f>
        <v>46170</v>
      </c>
      <c r="AE19" s="142" t="n">
        <f>IF(AE$5="","",AE$5)</f>
        <v>46171</v>
      </c>
      <c r="AF19" s="142" t="n">
        <f>IF(AF$5="","",AF$5)</f>
        <v>46172</v>
      </c>
      <c r="AG19" s="142" t="n">
        <f>IF(AG$5="","",AG$5)</f>
        <v>46173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46143</v>
      </c>
      <c r="D30" s="48" t="n">
        <f>IF(D$5="","",D$5)</f>
        <v>46144</v>
      </c>
      <c r="E30" s="48" t="n">
        <f>IF(E$5="","",E$5)</f>
        <v>46145</v>
      </c>
      <c r="F30" s="48" t="n">
        <f>IF(F$5="","",F$5)</f>
        <v>46146</v>
      </c>
      <c r="G30" s="48" t="n">
        <f>IF(G$5="","",G$5)</f>
        <v>46147</v>
      </c>
      <c r="H30" s="48" t="n">
        <f>IF(H$5="","",H$5)</f>
        <v>46148</v>
      </c>
      <c r="I30" s="48" t="n">
        <f>IF(I$5="","",I$5)</f>
        <v>46149</v>
      </c>
      <c r="J30" s="48" t="n">
        <f>IF(J$5="","",J$5)</f>
        <v>46150</v>
      </c>
      <c r="K30" s="48" t="n">
        <f>IF(K$5="","",K$5)</f>
        <v>46151</v>
      </c>
      <c r="L30" s="48" t="n">
        <f>IF(L$5="","",L$5)</f>
        <v>46152</v>
      </c>
      <c r="M30" s="48" t="n">
        <f>IF(M$5="","",M$5)</f>
        <v>46153</v>
      </c>
      <c r="N30" s="48" t="n">
        <f>IF(N$5="","",N$5)</f>
        <v>46154</v>
      </c>
      <c r="O30" s="48" t="n">
        <f>IF(O$5="","",O$5)</f>
        <v>46155</v>
      </c>
      <c r="P30" s="48" t="n">
        <f>IF(P$5="","",P$5)</f>
        <v>46156</v>
      </c>
      <c r="Q30" s="48" t="n">
        <f>IF(Q$5="","",Q$5)</f>
        <v>46157</v>
      </c>
      <c r="R30" s="48" t="n">
        <f>IF(R$5="","",R$5)</f>
        <v>46158</v>
      </c>
      <c r="S30" s="48" t="n">
        <f>IF(S$5="","",S$5)</f>
        <v>46159</v>
      </c>
      <c r="T30" s="48" t="n">
        <f>IF(T$5="","",T$5)</f>
        <v>46160</v>
      </c>
      <c r="U30" s="48" t="n">
        <f>IF(U$5="","",U$5)</f>
        <v>46161</v>
      </c>
      <c r="V30" s="48" t="n">
        <f>IF(V$5="","",V$5)</f>
        <v>46162</v>
      </c>
      <c r="W30" s="48" t="n">
        <f>IF(W$5="","",W$5)</f>
        <v>46163</v>
      </c>
      <c r="X30" s="48" t="n">
        <f>IF(X$5="","",X$5)</f>
        <v>46164</v>
      </c>
      <c r="Y30" s="48" t="n">
        <f>IF(Y$5="","",Y$5)</f>
        <v>46165</v>
      </c>
      <c r="Z30" s="48" t="n">
        <f>IF(Z$5="","",Z$5)</f>
        <v>46166</v>
      </c>
      <c r="AA30" s="48" t="n">
        <f>IF(AA$5="","",AA$5)</f>
        <v>46167</v>
      </c>
      <c r="AB30" s="48" t="n">
        <f>IF(AB$5="","",AB$5)</f>
        <v>46168</v>
      </c>
      <c r="AC30" s="48" t="n">
        <f>IF(AC$5="","",AC$5)</f>
        <v>46169</v>
      </c>
      <c r="AD30" s="48" t="n">
        <f>IF(AD$5="","",AD$5)</f>
        <v>46170</v>
      </c>
      <c r="AE30" s="48" t="n">
        <f>IF(AE$5="","",AE$5)</f>
        <v>46171</v>
      </c>
      <c r="AF30" s="48" t="n">
        <f>IF(AF$5="","",AF$5)</f>
        <v>46172</v>
      </c>
      <c r="AG30" s="48" t="n">
        <f>IF(AG$5="","",AG$5)</f>
        <v>46173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46143</v>
      </c>
      <c r="D31" s="142" t="n">
        <f>IF(D$5="","",D$5)</f>
        <v>46144</v>
      </c>
      <c r="E31" s="142" t="n">
        <f>IF(E$5="","",E$5)</f>
        <v>46145</v>
      </c>
      <c r="F31" s="142" t="n">
        <f>IF(F$5="","",F$5)</f>
        <v>46146</v>
      </c>
      <c r="G31" s="142" t="n">
        <f>IF(G$5="","",G$5)</f>
        <v>46147</v>
      </c>
      <c r="H31" s="142" t="n">
        <f>IF(H$5="","",H$5)</f>
        <v>46148</v>
      </c>
      <c r="I31" s="142" t="n">
        <f>IF(I$5="","",I$5)</f>
        <v>46149</v>
      </c>
      <c r="J31" s="142" t="n">
        <f>IF(J$5="","",J$5)</f>
        <v>46150</v>
      </c>
      <c r="K31" s="142" t="n">
        <f>IF(K$5="","",K$5)</f>
        <v>46151</v>
      </c>
      <c r="L31" s="142" t="n">
        <f>IF(L$5="","",L$5)</f>
        <v>46152</v>
      </c>
      <c r="M31" s="142" t="n">
        <f>IF(M$5="","",M$5)</f>
        <v>46153</v>
      </c>
      <c r="N31" s="142" t="n">
        <f>IF(N$5="","",N$5)</f>
        <v>46154</v>
      </c>
      <c r="O31" s="142" t="n">
        <f>IF(O$5="","",O$5)</f>
        <v>46155</v>
      </c>
      <c r="P31" s="142" t="n">
        <f>IF(P$5="","",P$5)</f>
        <v>46156</v>
      </c>
      <c r="Q31" s="142" t="n">
        <f>IF(Q$5="","",Q$5)</f>
        <v>46157</v>
      </c>
      <c r="R31" s="142" t="n">
        <f>IF(R$5="","",R$5)</f>
        <v>46158</v>
      </c>
      <c r="S31" s="142" t="n">
        <f>IF(S$5="","",S$5)</f>
        <v>46159</v>
      </c>
      <c r="T31" s="142" t="n">
        <f>IF(T$5="","",T$5)</f>
        <v>46160</v>
      </c>
      <c r="U31" s="142" t="n">
        <f>IF(U$5="","",U$5)</f>
        <v>46161</v>
      </c>
      <c r="V31" s="142" t="n">
        <f>IF(V$5="","",V$5)</f>
        <v>46162</v>
      </c>
      <c r="W31" s="142" t="n">
        <f>IF(W$5="","",W$5)</f>
        <v>46163</v>
      </c>
      <c r="X31" s="142" t="n">
        <f>IF(X$5="","",X$5)</f>
        <v>46164</v>
      </c>
      <c r="Y31" s="142" t="n">
        <f>IF(Y$5="","",Y$5)</f>
        <v>46165</v>
      </c>
      <c r="Z31" s="142" t="n">
        <f>IF(Z$5="","",Z$5)</f>
        <v>46166</v>
      </c>
      <c r="AA31" s="142" t="n">
        <f>IF(AA$5="","",AA$5)</f>
        <v>46167</v>
      </c>
      <c r="AB31" s="142" t="n">
        <f>IF(AB$5="","",AB$5)</f>
        <v>46168</v>
      </c>
      <c r="AC31" s="142" t="n">
        <f>IF(AC$5="","",AC$5)</f>
        <v>46169</v>
      </c>
      <c r="AD31" s="142" t="n">
        <f>IF(AD$5="","",AD$5)</f>
        <v>46170</v>
      </c>
      <c r="AE31" s="142" t="n">
        <f>IF(AE$5="","",AE$5)</f>
        <v>46171</v>
      </c>
      <c r="AF31" s="142" t="n">
        <f>IF(AF$5="","",AF$5)</f>
        <v>46172</v>
      </c>
      <c r="AG31" s="142" t="n">
        <f>IF(AG$5="","",AG$5)</f>
        <v>46173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summary'!$C$4,5,1),DATE('Billable summary'!$C$4,6,0))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00" priority="1">
      <formula>OR(C$5="",WEEKDAY(C$5,2)&gt;5)</formula>
    </cfRule>
    <cfRule type="expression" dxfId="101" priority="2">
      <formula>AND(C$5="",NOT(ISBLANK(C7)))</formula>
    </cfRule>
  </conditionalFormatting>
  <conditionalFormatting sqref="C20:AG25">
    <cfRule type="expression" dxfId="102" priority="3">
      <formula>OR(C$5="",WEEKDAY(C$5,2)&gt;5)</formula>
    </cfRule>
    <cfRule type="expression" dxfId="103" priority="4">
      <formula>AND(C$5="",NOT(ISBLANK(C20)))</formula>
    </cfRule>
  </conditionalFormatting>
  <conditionalFormatting sqref="C32:AG35">
    <cfRule type="expression" dxfId="104" priority="5">
      <formula>OR(C$5="",WEEKDAY(C$5,2)&gt;5)</formula>
    </cfRule>
    <cfRule type="expression" dxfId="105" priority="6">
      <formula>AND(C$5="",NOT(ISBLANK(C32)))</formula>
    </cfRule>
  </conditionalFormatting>
  <conditionalFormatting sqref="I43:K43">
    <cfRule type="expression" dxfId="106" priority="7">
      <formula>AND(ISNUMBER($I$43),$I$43&gt;=$I$44)</formula>
    </cfRule>
    <cfRule type="expression" dxfId="107" priority="8">
      <formula>AND(ISNUMBER($I$43),$I$43&lt;$I$44)</formula>
    </cfRule>
  </conditionalFormatting>
  <conditionalFormatting sqref="B51:AH51">
    <cfRule type="containsText" dxfId="108" priority="9" operator="containsText" text="Check"/>
    <cfRule type="containsText" dxfId="109" priority="10" operator="containsText" text="Invalid"/>
    <cfRule type="containsText" dxfId="110" priority="11" operator="containsText" text="Negative"/>
    <cfRule type="containsText" dxfId="11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summary'!$C$4,6,1),"mmmm yyyy")</f>
        <v>June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summary'!$C$4,7,0)),DATE('Billable summary'!$C$4,6,1),"")</f>
        <v>46174</v>
      </c>
      <c r="D5" s="48" t="n">
        <f>IF(2&lt;=DAY(DATE('Billable summary'!$C$4,7,0)),DATE('Billable summary'!$C$4,6,2),"")</f>
        <v>46175</v>
      </c>
      <c r="E5" s="48" t="n">
        <f>IF(3&lt;=DAY(DATE('Billable summary'!$C$4,7,0)),DATE('Billable summary'!$C$4,6,3),"")</f>
        <v>46176</v>
      </c>
      <c r="F5" s="48" t="n">
        <f>IF(4&lt;=DAY(DATE('Billable summary'!$C$4,7,0)),DATE('Billable summary'!$C$4,6,4),"")</f>
        <v>46177</v>
      </c>
      <c r="G5" s="48" t="n">
        <f>IF(5&lt;=DAY(DATE('Billable summary'!$C$4,7,0)),DATE('Billable summary'!$C$4,6,5),"")</f>
        <v>46178</v>
      </c>
      <c r="H5" s="48" t="n">
        <f>IF(6&lt;=DAY(DATE('Billable summary'!$C$4,7,0)),DATE('Billable summary'!$C$4,6,6),"")</f>
        <v>46179</v>
      </c>
      <c r="I5" s="48" t="n">
        <f>IF(7&lt;=DAY(DATE('Billable summary'!$C$4,7,0)),DATE('Billable summary'!$C$4,6,7),"")</f>
        <v>46180</v>
      </c>
      <c r="J5" s="48" t="n">
        <f>IF(8&lt;=DAY(DATE('Billable summary'!$C$4,7,0)),DATE('Billable summary'!$C$4,6,8),"")</f>
        <v>46181</v>
      </c>
      <c r="K5" s="48" t="n">
        <f>IF(9&lt;=DAY(DATE('Billable summary'!$C$4,7,0)),DATE('Billable summary'!$C$4,6,9),"")</f>
        <v>46182</v>
      </c>
      <c r="L5" s="48" t="n">
        <f>IF(10&lt;=DAY(DATE('Billable summary'!$C$4,7,0)),DATE('Billable summary'!$C$4,6,10),"")</f>
        <v>46183</v>
      </c>
      <c r="M5" s="48" t="n">
        <f>IF(11&lt;=DAY(DATE('Billable summary'!$C$4,7,0)),DATE('Billable summary'!$C$4,6,11),"")</f>
        <v>46184</v>
      </c>
      <c r="N5" s="48" t="n">
        <f>IF(12&lt;=DAY(DATE('Billable summary'!$C$4,7,0)),DATE('Billable summary'!$C$4,6,12),"")</f>
        <v>46185</v>
      </c>
      <c r="O5" s="48" t="n">
        <f>IF(13&lt;=DAY(DATE('Billable summary'!$C$4,7,0)),DATE('Billable summary'!$C$4,6,13),"")</f>
        <v>46186</v>
      </c>
      <c r="P5" s="48" t="n">
        <f>IF(14&lt;=DAY(DATE('Billable summary'!$C$4,7,0)),DATE('Billable summary'!$C$4,6,14),"")</f>
        <v>46187</v>
      </c>
      <c r="Q5" s="48" t="n">
        <f>IF(15&lt;=DAY(DATE('Billable summary'!$C$4,7,0)),DATE('Billable summary'!$C$4,6,15),"")</f>
        <v>46188</v>
      </c>
      <c r="R5" s="48" t="n">
        <f>IF(16&lt;=DAY(DATE('Billable summary'!$C$4,7,0)),DATE('Billable summary'!$C$4,6,16),"")</f>
        <v>46189</v>
      </c>
      <c r="S5" s="48" t="n">
        <f>IF(17&lt;=DAY(DATE('Billable summary'!$C$4,7,0)),DATE('Billable summary'!$C$4,6,17),"")</f>
        <v>46190</v>
      </c>
      <c r="T5" s="48" t="n">
        <f>IF(18&lt;=DAY(DATE('Billable summary'!$C$4,7,0)),DATE('Billable summary'!$C$4,6,18),"")</f>
        <v>46191</v>
      </c>
      <c r="U5" s="48" t="n">
        <f>IF(19&lt;=DAY(DATE('Billable summary'!$C$4,7,0)),DATE('Billable summary'!$C$4,6,19),"")</f>
        <v>46192</v>
      </c>
      <c r="V5" s="48" t="n">
        <f>IF(20&lt;=DAY(DATE('Billable summary'!$C$4,7,0)),DATE('Billable summary'!$C$4,6,20),"")</f>
        <v>46193</v>
      </c>
      <c r="W5" s="48" t="n">
        <f>IF(21&lt;=DAY(DATE('Billable summary'!$C$4,7,0)),DATE('Billable summary'!$C$4,6,21),"")</f>
        <v>46194</v>
      </c>
      <c r="X5" s="48" t="n">
        <f>IF(22&lt;=DAY(DATE('Billable summary'!$C$4,7,0)),DATE('Billable summary'!$C$4,6,22),"")</f>
        <v>46195</v>
      </c>
      <c r="Y5" s="48" t="n">
        <f>IF(23&lt;=DAY(DATE('Billable summary'!$C$4,7,0)),DATE('Billable summary'!$C$4,6,23),"")</f>
        <v>46196</v>
      </c>
      <c r="Z5" s="48" t="n">
        <f>IF(24&lt;=DAY(DATE('Billable summary'!$C$4,7,0)),DATE('Billable summary'!$C$4,6,24),"")</f>
        <v>46197</v>
      </c>
      <c r="AA5" s="48" t="n">
        <f>IF(25&lt;=DAY(DATE('Billable summary'!$C$4,7,0)),DATE('Billable summary'!$C$4,6,25),"")</f>
        <v>46198</v>
      </c>
      <c r="AB5" s="48" t="n">
        <f>IF(26&lt;=DAY(DATE('Billable summary'!$C$4,7,0)),DATE('Billable summary'!$C$4,6,26),"")</f>
        <v>46199</v>
      </c>
      <c r="AC5" s="48" t="n">
        <f>IF(27&lt;=DAY(DATE('Billable summary'!$C$4,7,0)),DATE('Billable summary'!$C$4,6,27),"")</f>
        <v>46200</v>
      </c>
      <c r="AD5" s="48" t="n">
        <f>IF(28&lt;=DAY(DATE('Billable summary'!$C$4,7,0)),DATE('Billable summary'!$C$4,6,28),"")</f>
        <v>46201</v>
      </c>
      <c r="AE5" s="48" t="n">
        <f>IF(29&lt;=DAY(DATE('Billable summary'!$C$4,7,0)),DATE('Billable summary'!$C$4,6,29),"")</f>
        <v>46202</v>
      </c>
      <c r="AF5" s="48" t="n">
        <f>IF(30&lt;=DAY(DATE('Billable summary'!$C$4,7,0)),DATE('Billable summary'!$C$4,6,30),"")</f>
        <v>46203</v>
      </c>
      <c r="AG5" s="48" t="str">
        <f>IF(31&lt;=DAY(DATE('Billable summary'!$C$4,7,0)),DATE('Billable summary'!$C$4,6,31),"")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46174</v>
      </c>
      <c r="D6" s="142" t="n">
        <f>IF(D$5="","",D$5)</f>
        <v>46175</v>
      </c>
      <c r="E6" s="142" t="n">
        <f>IF(E$5="","",E$5)</f>
        <v>46176</v>
      </c>
      <c r="F6" s="142" t="n">
        <f>IF(F$5="","",F$5)</f>
        <v>46177</v>
      </c>
      <c r="G6" s="142" t="n">
        <f>IF(G$5="","",G$5)</f>
        <v>46178</v>
      </c>
      <c r="H6" s="142" t="n">
        <f>IF(H$5="","",H$5)</f>
        <v>46179</v>
      </c>
      <c r="I6" s="142" t="n">
        <f>IF(I$5="","",I$5)</f>
        <v>46180</v>
      </c>
      <c r="J6" s="142" t="n">
        <f>IF(J$5="","",J$5)</f>
        <v>46181</v>
      </c>
      <c r="K6" s="142" t="n">
        <f>IF(K$5="","",K$5)</f>
        <v>46182</v>
      </c>
      <c r="L6" s="142" t="n">
        <f>IF(L$5="","",L$5)</f>
        <v>46183</v>
      </c>
      <c r="M6" s="142" t="n">
        <f>IF(M$5="","",M$5)</f>
        <v>46184</v>
      </c>
      <c r="N6" s="142" t="n">
        <f>IF(N$5="","",N$5)</f>
        <v>46185</v>
      </c>
      <c r="O6" s="142" t="n">
        <f>IF(O$5="","",O$5)</f>
        <v>46186</v>
      </c>
      <c r="P6" s="142" t="n">
        <f>IF(P$5="","",P$5)</f>
        <v>46187</v>
      </c>
      <c r="Q6" s="142" t="n">
        <f>IF(Q$5="","",Q$5)</f>
        <v>46188</v>
      </c>
      <c r="R6" s="142" t="n">
        <f>IF(R$5="","",R$5)</f>
        <v>46189</v>
      </c>
      <c r="S6" s="142" t="n">
        <f>IF(S$5="","",S$5)</f>
        <v>46190</v>
      </c>
      <c r="T6" s="142" t="n">
        <f>IF(T$5="","",T$5)</f>
        <v>46191</v>
      </c>
      <c r="U6" s="142" t="n">
        <f>IF(U$5="","",U$5)</f>
        <v>46192</v>
      </c>
      <c r="V6" s="142" t="n">
        <f>IF(V$5="","",V$5)</f>
        <v>46193</v>
      </c>
      <c r="W6" s="142" t="n">
        <f>IF(W$5="","",W$5)</f>
        <v>46194</v>
      </c>
      <c r="X6" s="142" t="n">
        <f>IF(X$5="","",X$5)</f>
        <v>46195</v>
      </c>
      <c r="Y6" s="142" t="n">
        <f>IF(Y$5="","",Y$5)</f>
        <v>46196</v>
      </c>
      <c r="Z6" s="142" t="n">
        <f>IF(Z$5="","",Z$5)</f>
        <v>46197</v>
      </c>
      <c r="AA6" s="142" t="n">
        <f>IF(AA$5="","",AA$5)</f>
        <v>46198</v>
      </c>
      <c r="AB6" s="142" t="n">
        <f>IF(AB$5="","",AB$5)</f>
        <v>46199</v>
      </c>
      <c r="AC6" s="142" t="n">
        <f>IF(AC$5="","",AC$5)</f>
        <v>46200</v>
      </c>
      <c r="AD6" s="142" t="n">
        <f>IF(AD$5="","",AD$5)</f>
        <v>46201</v>
      </c>
      <c r="AE6" s="142" t="n">
        <f>IF(AE$5="","",AE$5)</f>
        <v>46202</v>
      </c>
      <c r="AF6" s="142" t="n">
        <f>IF(AF$5="","",AF$5)</f>
        <v>46203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46174</v>
      </c>
      <c r="D19" s="142" t="n">
        <f>IF(D$5="","",D$5)</f>
        <v>46175</v>
      </c>
      <c r="E19" s="142" t="n">
        <f>IF(E$5="","",E$5)</f>
        <v>46176</v>
      </c>
      <c r="F19" s="142" t="n">
        <f>IF(F$5="","",F$5)</f>
        <v>46177</v>
      </c>
      <c r="G19" s="142" t="n">
        <f>IF(G$5="","",G$5)</f>
        <v>46178</v>
      </c>
      <c r="H19" s="142" t="n">
        <f>IF(H$5="","",H$5)</f>
        <v>46179</v>
      </c>
      <c r="I19" s="142" t="n">
        <f>IF(I$5="","",I$5)</f>
        <v>46180</v>
      </c>
      <c r="J19" s="142" t="n">
        <f>IF(J$5="","",J$5)</f>
        <v>46181</v>
      </c>
      <c r="K19" s="142" t="n">
        <f>IF(K$5="","",K$5)</f>
        <v>46182</v>
      </c>
      <c r="L19" s="142" t="n">
        <f>IF(L$5="","",L$5)</f>
        <v>46183</v>
      </c>
      <c r="M19" s="142" t="n">
        <f>IF(M$5="","",M$5)</f>
        <v>46184</v>
      </c>
      <c r="N19" s="142" t="n">
        <f>IF(N$5="","",N$5)</f>
        <v>46185</v>
      </c>
      <c r="O19" s="142" t="n">
        <f>IF(O$5="","",O$5)</f>
        <v>46186</v>
      </c>
      <c r="P19" s="142" t="n">
        <f>IF(P$5="","",P$5)</f>
        <v>46187</v>
      </c>
      <c r="Q19" s="142" t="n">
        <f>IF(Q$5="","",Q$5)</f>
        <v>46188</v>
      </c>
      <c r="R19" s="142" t="n">
        <f>IF(R$5="","",R$5)</f>
        <v>46189</v>
      </c>
      <c r="S19" s="142" t="n">
        <f>IF(S$5="","",S$5)</f>
        <v>46190</v>
      </c>
      <c r="T19" s="142" t="n">
        <f>IF(T$5="","",T$5)</f>
        <v>46191</v>
      </c>
      <c r="U19" s="142" t="n">
        <f>IF(U$5="","",U$5)</f>
        <v>46192</v>
      </c>
      <c r="V19" s="142" t="n">
        <f>IF(V$5="","",V$5)</f>
        <v>46193</v>
      </c>
      <c r="W19" s="142" t="n">
        <f>IF(W$5="","",W$5)</f>
        <v>46194</v>
      </c>
      <c r="X19" s="142" t="n">
        <f>IF(X$5="","",X$5)</f>
        <v>46195</v>
      </c>
      <c r="Y19" s="142" t="n">
        <f>IF(Y$5="","",Y$5)</f>
        <v>46196</v>
      </c>
      <c r="Z19" s="142" t="n">
        <f>IF(Z$5="","",Z$5)</f>
        <v>46197</v>
      </c>
      <c r="AA19" s="142" t="n">
        <f>IF(AA$5="","",AA$5)</f>
        <v>46198</v>
      </c>
      <c r="AB19" s="142" t="n">
        <f>IF(AB$5="","",AB$5)</f>
        <v>46199</v>
      </c>
      <c r="AC19" s="142" t="n">
        <f>IF(AC$5="","",AC$5)</f>
        <v>46200</v>
      </c>
      <c r="AD19" s="142" t="n">
        <f>IF(AD$5="","",AD$5)</f>
        <v>46201</v>
      </c>
      <c r="AE19" s="142" t="n">
        <f>IF(AE$5="","",AE$5)</f>
        <v>46202</v>
      </c>
      <c r="AF19" s="142" t="n">
        <f>IF(AF$5="","",AF$5)</f>
        <v>46203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46174</v>
      </c>
      <c r="D30" s="48" t="n">
        <f>IF(D$5="","",D$5)</f>
        <v>46175</v>
      </c>
      <c r="E30" s="48" t="n">
        <f>IF(E$5="","",E$5)</f>
        <v>46176</v>
      </c>
      <c r="F30" s="48" t="n">
        <f>IF(F$5="","",F$5)</f>
        <v>46177</v>
      </c>
      <c r="G30" s="48" t="n">
        <f>IF(G$5="","",G$5)</f>
        <v>46178</v>
      </c>
      <c r="H30" s="48" t="n">
        <f>IF(H$5="","",H$5)</f>
        <v>46179</v>
      </c>
      <c r="I30" s="48" t="n">
        <f>IF(I$5="","",I$5)</f>
        <v>46180</v>
      </c>
      <c r="J30" s="48" t="n">
        <f>IF(J$5="","",J$5)</f>
        <v>46181</v>
      </c>
      <c r="K30" s="48" t="n">
        <f>IF(K$5="","",K$5)</f>
        <v>46182</v>
      </c>
      <c r="L30" s="48" t="n">
        <f>IF(L$5="","",L$5)</f>
        <v>46183</v>
      </c>
      <c r="M30" s="48" t="n">
        <f>IF(M$5="","",M$5)</f>
        <v>46184</v>
      </c>
      <c r="N30" s="48" t="n">
        <f>IF(N$5="","",N$5)</f>
        <v>46185</v>
      </c>
      <c r="O30" s="48" t="n">
        <f>IF(O$5="","",O$5)</f>
        <v>46186</v>
      </c>
      <c r="P30" s="48" t="n">
        <f>IF(P$5="","",P$5)</f>
        <v>46187</v>
      </c>
      <c r="Q30" s="48" t="n">
        <f>IF(Q$5="","",Q$5)</f>
        <v>46188</v>
      </c>
      <c r="R30" s="48" t="n">
        <f>IF(R$5="","",R$5)</f>
        <v>46189</v>
      </c>
      <c r="S30" s="48" t="n">
        <f>IF(S$5="","",S$5)</f>
        <v>46190</v>
      </c>
      <c r="T30" s="48" t="n">
        <f>IF(T$5="","",T$5)</f>
        <v>46191</v>
      </c>
      <c r="U30" s="48" t="n">
        <f>IF(U$5="","",U$5)</f>
        <v>46192</v>
      </c>
      <c r="V30" s="48" t="n">
        <f>IF(V$5="","",V$5)</f>
        <v>46193</v>
      </c>
      <c r="W30" s="48" t="n">
        <f>IF(W$5="","",W$5)</f>
        <v>46194</v>
      </c>
      <c r="X30" s="48" t="n">
        <f>IF(X$5="","",X$5)</f>
        <v>46195</v>
      </c>
      <c r="Y30" s="48" t="n">
        <f>IF(Y$5="","",Y$5)</f>
        <v>46196</v>
      </c>
      <c r="Z30" s="48" t="n">
        <f>IF(Z$5="","",Z$5)</f>
        <v>46197</v>
      </c>
      <c r="AA30" s="48" t="n">
        <f>IF(AA$5="","",AA$5)</f>
        <v>46198</v>
      </c>
      <c r="AB30" s="48" t="n">
        <f>IF(AB$5="","",AB$5)</f>
        <v>46199</v>
      </c>
      <c r="AC30" s="48" t="n">
        <f>IF(AC$5="","",AC$5)</f>
        <v>46200</v>
      </c>
      <c r="AD30" s="48" t="n">
        <f>IF(AD$5="","",AD$5)</f>
        <v>46201</v>
      </c>
      <c r="AE30" s="48" t="n">
        <f>IF(AE$5="","",AE$5)</f>
        <v>46202</v>
      </c>
      <c r="AF30" s="48" t="n">
        <f>IF(AF$5="","",AF$5)</f>
        <v>46203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46174</v>
      </c>
      <c r="D31" s="142" t="n">
        <f>IF(D$5="","",D$5)</f>
        <v>46175</v>
      </c>
      <c r="E31" s="142" t="n">
        <f>IF(E$5="","",E$5)</f>
        <v>46176</v>
      </c>
      <c r="F31" s="142" t="n">
        <f>IF(F$5="","",F$5)</f>
        <v>46177</v>
      </c>
      <c r="G31" s="142" t="n">
        <f>IF(G$5="","",G$5)</f>
        <v>46178</v>
      </c>
      <c r="H31" s="142" t="n">
        <f>IF(H$5="","",H$5)</f>
        <v>46179</v>
      </c>
      <c r="I31" s="142" t="n">
        <f>IF(I$5="","",I$5)</f>
        <v>46180</v>
      </c>
      <c r="J31" s="142" t="n">
        <f>IF(J$5="","",J$5)</f>
        <v>46181</v>
      </c>
      <c r="K31" s="142" t="n">
        <f>IF(K$5="","",K$5)</f>
        <v>46182</v>
      </c>
      <c r="L31" s="142" t="n">
        <f>IF(L$5="","",L$5)</f>
        <v>46183</v>
      </c>
      <c r="M31" s="142" t="n">
        <f>IF(M$5="","",M$5)</f>
        <v>46184</v>
      </c>
      <c r="N31" s="142" t="n">
        <f>IF(N$5="","",N$5)</f>
        <v>46185</v>
      </c>
      <c r="O31" s="142" t="n">
        <f>IF(O$5="","",O$5)</f>
        <v>46186</v>
      </c>
      <c r="P31" s="142" t="n">
        <f>IF(P$5="","",P$5)</f>
        <v>46187</v>
      </c>
      <c r="Q31" s="142" t="n">
        <f>IF(Q$5="","",Q$5)</f>
        <v>46188</v>
      </c>
      <c r="R31" s="142" t="n">
        <f>IF(R$5="","",R$5)</f>
        <v>46189</v>
      </c>
      <c r="S31" s="142" t="n">
        <f>IF(S$5="","",S$5)</f>
        <v>46190</v>
      </c>
      <c r="T31" s="142" t="n">
        <f>IF(T$5="","",T$5)</f>
        <v>46191</v>
      </c>
      <c r="U31" s="142" t="n">
        <f>IF(U$5="","",U$5)</f>
        <v>46192</v>
      </c>
      <c r="V31" s="142" t="n">
        <f>IF(V$5="","",V$5)</f>
        <v>46193</v>
      </c>
      <c r="W31" s="142" t="n">
        <f>IF(W$5="","",W$5)</f>
        <v>46194</v>
      </c>
      <c r="X31" s="142" t="n">
        <f>IF(X$5="","",X$5)</f>
        <v>46195</v>
      </c>
      <c r="Y31" s="142" t="n">
        <f>IF(Y$5="","",Y$5)</f>
        <v>46196</v>
      </c>
      <c r="Z31" s="142" t="n">
        <f>IF(Z$5="","",Z$5)</f>
        <v>46197</v>
      </c>
      <c r="AA31" s="142" t="n">
        <f>IF(AA$5="","",AA$5)</f>
        <v>46198</v>
      </c>
      <c r="AB31" s="142" t="n">
        <f>IF(AB$5="","",AB$5)</f>
        <v>46199</v>
      </c>
      <c r="AC31" s="142" t="n">
        <f>IF(AC$5="","",AC$5)</f>
        <v>46200</v>
      </c>
      <c r="AD31" s="142" t="n">
        <f>IF(AD$5="","",AD$5)</f>
        <v>46201</v>
      </c>
      <c r="AE31" s="142" t="n">
        <f>IF(AE$5="","",AE$5)</f>
        <v>46202</v>
      </c>
      <c r="AF31" s="142" t="n">
        <f>IF(AF$5="","",AF$5)</f>
        <v>46203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summary'!$C$4,6,1),DATE('Billable summary'!$C$4,7,0))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12" priority="1">
      <formula>OR(C$5="",WEEKDAY(C$5,2)&gt;5)</formula>
    </cfRule>
    <cfRule type="expression" dxfId="113" priority="2">
      <formula>AND(C$5="",NOT(ISBLANK(C7)))</formula>
    </cfRule>
  </conditionalFormatting>
  <conditionalFormatting sqref="C20:AG25">
    <cfRule type="expression" dxfId="114" priority="3">
      <formula>OR(C$5="",WEEKDAY(C$5,2)&gt;5)</formula>
    </cfRule>
    <cfRule type="expression" dxfId="115" priority="4">
      <formula>AND(C$5="",NOT(ISBLANK(C20)))</formula>
    </cfRule>
  </conditionalFormatting>
  <conditionalFormatting sqref="C32:AG35">
    <cfRule type="expression" dxfId="116" priority="5">
      <formula>OR(C$5="",WEEKDAY(C$5,2)&gt;5)</formula>
    </cfRule>
    <cfRule type="expression" dxfId="117" priority="6">
      <formula>AND(C$5="",NOT(ISBLANK(C32)))</formula>
    </cfRule>
  </conditionalFormatting>
  <conditionalFormatting sqref="I43:K43">
    <cfRule type="expression" dxfId="118" priority="7">
      <formula>AND(ISNUMBER($I$43),$I$43&gt;=$I$44)</formula>
    </cfRule>
    <cfRule type="expression" dxfId="119" priority="8">
      <formula>AND(ISNUMBER($I$43),$I$43&lt;$I$44)</formula>
    </cfRule>
  </conditionalFormatting>
  <conditionalFormatting sqref="B51:AH51">
    <cfRule type="containsText" dxfId="120" priority="9" operator="containsText" text="Check"/>
    <cfRule type="containsText" dxfId="121" priority="10" operator="containsText" text="Invalid"/>
    <cfRule type="containsText" dxfId="122" priority="11" operator="containsText" text="Negative"/>
    <cfRule type="containsText" dxfId="12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summary'!$C$4,7,1),"mmmm yyyy")</f>
        <v>July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summary'!$C$4,8,0)),DATE('Billable summary'!$C$4,7,1),"")</f>
        <v>46204</v>
      </c>
      <c r="D5" s="48" t="n">
        <f>IF(2&lt;=DAY(DATE('Billable summary'!$C$4,8,0)),DATE('Billable summary'!$C$4,7,2),"")</f>
        <v>46205</v>
      </c>
      <c r="E5" s="48" t="n">
        <f>IF(3&lt;=DAY(DATE('Billable summary'!$C$4,8,0)),DATE('Billable summary'!$C$4,7,3),"")</f>
        <v>46206</v>
      </c>
      <c r="F5" s="48" t="n">
        <f>IF(4&lt;=DAY(DATE('Billable summary'!$C$4,8,0)),DATE('Billable summary'!$C$4,7,4),"")</f>
        <v>46207</v>
      </c>
      <c r="G5" s="48" t="n">
        <f>IF(5&lt;=DAY(DATE('Billable summary'!$C$4,8,0)),DATE('Billable summary'!$C$4,7,5),"")</f>
        <v>46208</v>
      </c>
      <c r="H5" s="48" t="n">
        <f>IF(6&lt;=DAY(DATE('Billable summary'!$C$4,8,0)),DATE('Billable summary'!$C$4,7,6),"")</f>
        <v>46209</v>
      </c>
      <c r="I5" s="48" t="n">
        <f>IF(7&lt;=DAY(DATE('Billable summary'!$C$4,8,0)),DATE('Billable summary'!$C$4,7,7),"")</f>
        <v>46210</v>
      </c>
      <c r="J5" s="48" t="n">
        <f>IF(8&lt;=DAY(DATE('Billable summary'!$C$4,8,0)),DATE('Billable summary'!$C$4,7,8),"")</f>
        <v>46211</v>
      </c>
      <c r="K5" s="48" t="n">
        <f>IF(9&lt;=DAY(DATE('Billable summary'!$C$4,8,0)),DATE('Billable summary'!$C$4,7,9),"")</f>
        <v>46212</v>
      </c>
      <c r="L5" s="48" t="n">
        <f>IF(10&lt;=DAY(DATE('Billable summary'!$C$4,8,0)),DATE('Billable summary'!$C$4,7,10),"")</f>
        <v>46213</v>
      </c>
      <c r="M5" s="48" t="n">
        <f>IF(11&lt;=DAY(DATE('Billable summary'!$C$4,8,0)),DATE('Billable summary'!$C$4,7,11),"")</f>
        <v>46214</v>
      </c>
      <c r="N5" s="48" t="n">
        <f>IF(12&lt;=DAY(DATE('Billable summary'!$C$4,8,0)),DATE('Billable summary'!$C$4,7,12),"")</f>
        <v>46215</v>
      </c>
      <c r="O5" s="48" t="n">
        <f>IF(13&lt;=DAY(DATE('Billable summary'!$C$4,8,0)),DATE('Billable summary'!$C$4,7,13),"")</f>
        <v>46216</v>
      </c>
      <c r="P5" s="48" t="n">
        <f>IF(14&lt;=DAY(DATE('Billable summary'!$C$4,8,0)),DATE('Billable summary'!$C$4,7,14),"")</f>
        <v>46217</v>
      </c>
      <c r="Q5" s="48" t="n">
        <f>IF(15&lt;=DAY(DATE('Billable summary'!$C$4,8,0)),DATE('Billable summary'!$C$4,7,15),"")</f>
        <v>46218</v>
      </c>
      <c r="R5" s="48" t="n">
        <f>IF(16&lt;=DAY(DATE('Billable summary'!$C$4,8,0)),DATE('Billable summary'!$C$4,7,16),"")</f>
        <v>46219</v>
      </c>
      <c r="S5" s="48" t="n">
        <f>IF(17&lt;=DAY(DATE('Billable summary'!$C$4,8,0)),DATE('Billable summary'!$C$4,7,17),"")</f>
        <v>46220</v>
      </c>
      <c r="T5" s="48" t="n">
        <f>IF(18&lt;=DAY(DATE('Billable summary'!$C$4,8,0)),DATE('Billable summary'!$C$4,7,18),"")</f>
        <v>46221</v>
      </c>
      <c r="U5" s="48" t="n">
        <f>IF(19&lt;=DAY(DATE('Billable summary'!$C$4,8,0)),DATE('Billable summary'!$C$4,7,19),"")</f>
        <v>46222</v>
      </c>
      <c r="V5" s="48" t="n">
        <f>IF(20&lt;=DAY(DATE('Billable summary'!$C$4,8,0)),DATE('Billable summary'!$C$4,7,20),"")</f>
        <v>46223</v>
      </c>
      <c r="W5" s="48" t="n">
        <f>IF(21&lt;=DAY(DATE('Billable summary'!$C$4,8,0)),DATE('Billable summary'!$C$4,7,21),"")</f>
        <v>46224</v>
      </c>
      <c r="X5" s="48" t="n">
        <f>IF(22&lt;=DAY(DATE('Billable summary'!$C$4,8,0)),DATE('Billable summary'!$C$4,7,22),"")</f>
        <v>46225</v>
      </c>
      <c r="Y5" s="48" t="n">
        <f>IF(23&lt;=DAY(DATE('Billable summary'!$C$4,8,0)),DATE('Billable summary'!$C$4,7,23),"")</f>
        <v>46226</v>
      </c>
      <c r="Z5" s="48" t="n">
        <f>IF(24&lt;=DAY(DATE('Billable summary'!$C$4,8,0)),DATE('Billable summary'!$C$4,7,24),"")</f>
        <v>46227</v>
      </c>
      <c r="AA5" s="48" t="n">
        <f>IF(25&lt;=DAY(DATE('Billable summary'!$C$4,8,0)),DATE('Billable summary'!$C$4,7,25),"")</f>
        <v>46228</v>
      </c>
      <c r="AB5" s="48" t="n">
        <f>IF(26&lt;=DAY(DATE('Billable summary'!$C$4,8,0)),DATE('Billable summary'!$C$4,7,26),"")</f>
        <v>46229</v>
      </c>
      <c r="AC5" s="48" t="n">
        <f>IF(27&lt;=DAY(DATE('Billable summary'!$C$4,8,0)),DATE('Billable summary'!$C$4,7,27),"")</f>
        <v>46230</v>
      </c>
      <c r="AD5" s="48" t="n">
        <f>IF(28&lt;=DAY(DATE('Billable summary'!$C$4,8,0)),DATE('Billable summary'!$C$4,7,28),"")</f>
        <v>46231</v>
      </c>
      <c r="AE5" s="48" t="n">
        <f>IF(29&lt;=DAY(DATE('Billable summary'!$C$4,8,0)),DATE('Billable summary'!$C$4,7,29),"")</f>
        <v>46232</v>
      </c>
      <c r="AF5" s="48" t="n">
        <f>IF(30&lt;=DAY(DATE('Billable summary'!$C$4,8,0)),DATE('Billable summary'!$C$4,7,30),"")</f>
        <v>46233</v>
      </c>
      <c r="AG5" s="48" t="n">
        <f>IF(31&lt;=DAY(DATE('Billable summary'!$C$4,8,0)),DATE('Billable summary'!$C$4,7,31),"")</f>
        <v>46234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46204</v>
      </c>
      <c r="D6" s="142" t="n">
        <f>IF(D$5="","",D$5)</f>
        <v>46205</v>
      </c>
      <c r="E6" s="142" t="n">
        <f>IF(E$5="","",E$5)</f>
        <v>46206</v>
      </c>
      <c r="F6" s="142" t="n">
        <f>IF(F$5="","",F$5)</f>
        <v>46207</v>
      </c>
      <c r="G6" s="142" t="n">
        <f>IF(G$5="","",G$5)</f>
        <v>46208</v>
      </c>
      <c r="H6" s="142" t="n">
        <f>IF(H$5="","",H$5)</f>
        <v>46209</v>
      </c>
      <c r="I6" s="142" t="n">
        <f>IF(I$5="","",I$5)</f>
        <v>46210</v>
      </c>
      <c r="J6" s="142" t="n">
        <f>IF(J$5="","",J$5)</f>
        <v>46211</v>
      </c>
      <c r="K6" s="142" t="n">
        <f>IF(K$5="","",K$5)</f>
        <v>46212</v>
      </c>
      <c r="L6" s="142" t="n">
        <f>IF(L$5="","",L$5)</f>
        <v>46213</v>
      </c>
      <c r="M6" s="142" t="n">
        <f>IF(M$5="","",M$5)</f>
        <v>46214</v>
      </c>
      <c r="N6" s="142" t="n">
        <f>IF(N$5="","",N$5)</f>
        <v>46215</v>
      </c>
      <c r="O6" s="142" t="n">
        <f>IF(O$5="","",O$5)</f>
        <v>46216</v>
      </c>
      <c r="P6" s="142" t="n">
        <f>IF(P$5="","",P$5)</f>
        <v>46217</v>
      </c>
      <c r="Q6" s="142" t="n">
        <f>IF(Q$5="","",Q$5)</f>
        <v>46218</v>
      </c>
      <c r="R6" s="142" t="n">
        <f>IF(R$5="","",R$5)</f>
        <v>46219</v>
      </c>
      <c r="S6" s="142" t="n">
        <f>IF(S$5="","",S$5)</f>
        <v>46220</v>
      </c>
      <c r="T6" s="142" t="n">
        <f>IF(T$5="","",T$5)</f>
        <v>46221</v>
      </c>
      <c r="U6" s="142" t="n">
        <f>IF(U$5="","",U$5)</f>
        <v>46222</v>
      </c>
      <c r="V6" s="142" t="n">
        <f>IF(V$5="","",V$5)</f>
        <v>46223</v>
      </c>
      <c r="W6" s="142" t="n">
        <f>IF(W$5="","",W$5)</f>
        <v>46224</v>
      </c>
      <c r="X6" s="142" t="n">
        <f>IF(X$5="","",X$5)</f>
        <v>46225</v>
      </c>
      <c r="Y6" s="142" t="n">
        <f>IF(Y$5="","",Y$5)</f>
        <v>46226</v>
      </c>
      <c r="Z6" s="142" t="n">
        <f>IF(Z$5="","",Z$5)</f>
        <v>46227</v>
      </c>
      <c r="AA6" s="142" t="n">
        <f>IF(AA$5="","",AA$5)</f>
        <v>46228</v>
      </c>
      <c r="AB6" s="142" t="n">
        <f>IF(AB$5="","",AB$5)</f>
        <v>46229</v>
      </c>
      <c r="AC6" s="142" t="n">
        <f>IF(AC$5="","",AC$5)</f>
        <v>46230</v>
      </c>
      <c r="AD6" s="142" t="n">
        <f>IF(AD$5="","",AD$5)</f>
        <v>46231</v>
      </c>
      <c r="AE6" s="142" t="n">
        <f>IF(AE$5="","",AE$5)</f>
        <v>46232</v>
      </c>
      <c r="AF6" s="142" t="n">
        <f>IF(AF$5="","",AF$5)</f>
        <v>46233</v>
      </c>
      <c r="AG6" s="142" t="n">
        <f>IF(AG$5="","",AG$5)</f>
        <v>46234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46204</v>
      </c>
      <c r="D19" s="142" t="n">
        <f>IF(D$5="","",D$5)</f>
        <v>46205</v>
      </c>
      <c r="E19" s="142" t="n">
        <f>IF(E$5="","",E$5)</f>
        <v>46206</v>
      </c>
      <c r="F19" s="142" t="n">
        <f>IF(F$5="","",F$5)</f>
        <v>46207</v>
      </c>
      <c r="G19" s="142" t="n">
        <f>IF(G$5="","",G$5)</f>
        <v>46208</v>
      </c>
      <c r="H19" s="142" t="n">
        <f>IF(H$5="","",H$5)</f>
        <v>46209</v>
      </c>
      <c r="I19" s="142" t="n">
        <f>IF(I$5="","",I$5)</f>
        <v>46210</v>
      </c>
      <c r="J19" s="142" t="n">
        <f>IF(J$5="","",J$5)</f>
        <v>46211</v>
      </c>
      <c r="K19" s="142" t="n">
        <f>IF(K$5="","",K$5)</f>
        <v>46212</v>
      </c>
      <c r="L19" s="142" t="n">
        <f>IF(L$5="","",L$5)</f>
        <v>46213</v>
      </c>
      <c r="M19" s="142" t="n">
        <f>IF(M$5="","",M$5)</f>
        <v>46214</v>
      </c>
      <c r="N19" s="142" t="n">
        <f>IF(N$5="","",N$5)</f>
        <v>46215</v>
      </c>
      <c r="O19" s="142" t="n">
        <f>IF(O$5="","",O$5)</f>
        <v>46216</v>
      </c>
      <c r="P19" s="142" t="n">
        <f>IF(P$5="","",P$5)</f>
        <v>46217</v>
      </c>
      <c r="Q19" s="142" t="n">
        <f>IF(Q$5="","",Q$5)</f>
        <v>46218</v>
      </c>
      <c r="R19" s="142" t="n">
        <f>IF(R$5="","",R$5)</f>
        <v>46219</v>
      </c>
      <c r="S19" s="142" t="n">
        <f>IF(S$5="","",S$5)</f>
        <v>46220</v>
      </c>
      <c r="T19" s="142" t="n">
        <f>IF(T$5="","",T$5)</f>
        <v>46221</v>
      </c>
      <c r="U19" s="142" t="n">
        <f>IF(U$5="","",U$5)</f>
        <v>46222</v>
      </c>
      <c r="V19" s="142" t="n">
        <f>IF(V$5="","",V$5)</f>
        <v>46223</v>
      </c>
      <c r="W19" s="142" t="n">
        <f>IF(W$5="","",W$5)</f>
        <v>46224</v>
      </c>
      <c r="X19" s="142" t="n">
        <f>IF(X$5="","",X$5)</f>
        <v>46225</v>
      </c>
      <c r="Y19" s="142" t="n">
        <f>IF(Y$5="","",Y$5)</f>
        <v>46226</v>
      </c>
      <c r="Z19" s="142" t="n">
        <f>IF(Z$5="","",Z$5)</f>
        <v>46227</v>
      </c>
      <c r="AA19" s="142" t="n">
        <f>IF(AA$5="","",AA$5)</f>
        <v>46228</v>
      </c>
      <c r="AB19" s="142" t="n">
        <f>IF(AB$5="","",AB$5)</f>
        <v>46229</v>
      </c>
      <c r="AC19" s="142" t="n">
        <f>IF(AC$5="","",AC$5)</f>
        <v>46230</v>
      </c>
      <c r="AD19" s="142" t="n">
        <f>IF(AD$5="","",AD$5)</f>
        <v>46231</v>
      </c>
      <c r="AE19" s="142" t="n">
        <f>IF(AE$5="","",AE$5)</f>
        <v>46232</v>
      </c>
      <c r="AF19" s="142" t="n">
        <f>IF(AF$5="","",AF$5)</f>
        <v>46233</v>
      </c>
      <c r="AG19" s="142" t="n">
        <f>IF(AG$5="","",AG$5)</f>
        <v>46234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46204</v>
      </c>
      <c r="D30" s="48" t="n">
        <f>IF(D$5="","",D$5)</f>
        <v>46205</v>
      </c>
      <c r="E30" s="48" t="n">
        <f>IF(E$5="","",E$5)</f>
        <v>46206</v>
      </c>
      <c r="F30" s="48" t="n">
        <f>IF(F$5="","",F$5)</f>
        <v>46207</v>
      </c>
      <c r="G30" s="48" t="n">
        <f>IF(G$5="","",G$5)</f>
        <v>46208</v>
      </c>
      <c r="H30" s="48" t="n">
        <f>IF(H$5="","",H$5)</f>
        <v>46209</v>
      </c>
      <c r="I30" s="48" t="n">
        <f>IF(I$5="","",I$5)</f>
        <v>46210</v>
      </c>
      <c r="J30" s="48" t="n">
        <f>IF(J$5="","",J$5)</f>
        <v>46211</v>
      </c>
      <c r="K30" s="48" t="n">
        <f>IF(K$5="","",K$5)</f>
        <v>46212</v>
      </c>
      <c r="L30" s="48" t="n">
        <f>IF(L$5="","",L$5)</f>
        <v>46213</v>
      </c>
      <c r="M30" s="48" t="n">
        <f>IF(M$5="","",M$5)</f>
        <v>46214</v>
      </c>
      <c r="N30" s="48" t="n">
        <f>IF(N$5="","",N$5)</f>
        <v>46215</v>
      </c>
      <c r="O30" s="48" t="n">
        <f>IF(O$5="","",O$5)</f>
        <v>46216</v>
      </c>
      <c r="P30" s="48" t="n">
        <f>IF(P$5="","",P$5)</f>
        <v>46217</v>
      </c>
      <c r="Q30" s="48" t="n">
        <f>IF(Q$5="","",Q$5)</f>
        <v>46218</v>
      </c>
      <c r="R30" s="48" t="n">
        <f>IF(R$5="","",R$5)</f>
        <v>46219</v>
      </c>
      <c r="S30" s="48" t="n">
        <f>IF(S$5="","",S$5)</f>
        <v>46220</v>
      </c>
      <c r="T30" s="48" t="n">
        <f>IF(T$5="","",T$5)</f>
        <v>46221</v>
      </c>
      <c r="U30" s="48" t="n">
        <f>IF(U$5="","",U$5)</f>
        <v>46222</v>
      </c>
      <c r="V30" s="48" t="n">
        <f>IF(V$5="","",V$5)</f>
        <v>46223</v>
      </c>
      <c r="W30" s="48" t="n">
        <f>IF(W$5="","",W$5)</f>
        <v>46224</v>
      </c>
      <c r="X30" s="48" t="n">
        <f>IF(X$5="","",X$5)</f>
        <v>46225</v>
      </c>
      <c r="Y30" s="48" t="n">
        <f>IF(Y$5="","",Y$5)</f>
        <v>46226</v>
      </c>
      <c r="Z30" s="48" t="n">
        <f>IF(Z$5="","",Z$5)</f>
        <v>46227</v>
      </c>
      <c r="AA30" s="48" t="n">
        <f>IF(AA$5="","",AA$5)</f>
        <v>46228</v>
      </c>
      <c r="AB30" s="48" t="n">
        <f>IF(AB$5="","",AB$5)</f>
        <v>46229</v>
      </c>
      <c r="AC30" s="48" t="n">
        <f>IF(AC$5="","",AC$5)</f>
        <v>46230</v>
      </c>
      <c r="AD30" s="48" t="n">
        <f>IF(AD$5="","",AD$5)</f>
        <v>46231</v>
      </c>
      <c r="AE30" s="48" t="n">
        <f>IF(AE$5="","",AE$5)</f>
        <v>46232</v>
      </c>
      <c r="AF30" s="48" t="n">
        <f>IF(AF$5="","",AF$5)</f>
        <v>46233</v>
      </c>
      <c r="AG30" s="48" t="n">
        <f>IF(AG$5="","",AG$5)</f>
        <v>46234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46204</v>
      </c>
      <c r="D31" s="142" t="n">
        <f>IF(D$5="","",D$5)</f>
        <v>46205</v>
      </c>
      <c r="E31" s="142" t="n">
        <f>IF(E$5="","",E$5)</f>
        <v>46206</v>
      </c>
      <c r="F31" s="142" t="n">
        <f>IF(F$5="","",F$5)</f>
        <v>46207</v>
      </c>
      <c r="G31" s="142" t="n">
        <f>IF(G$5="","",G$5)</f>
        <v>46208</v>
      </c>
      <c r="H31" s="142" t="n">
        <f>IF(H$5="","",H$5)</f>
        <v>46209</v>
      </c>
      <c r="I31" s="142" t="n">
        <f>IF(I$5="","",I$5)</f>
        <v>46210</v>
      </c>
      <c r="J31" s="142" t="n">
        <f>IF(J$5="","",J$5)</f>
        <v>46211</v>
      </c>
      <c r="K31" s="142" t="n">
        <f>IF(K$5="","",K$5)</f>
        <v>46212</v>
      </c>
      <c r="L31" s="142" t="n">
        <f>IF(L$5="","",L$5)</f>
        <v>46213</v>
      </c>
      <c r="M31" s="142" t="n">
        <f>IF(M$5="","",M$5)</f>
        <v>46214</v>
      </c>
      <c r="N31" s="142" t="n">
        <f>IF(N$5="","",N$5)</f>
        <v>46215</v>
      </c>
      <c r="O31" s="142" t="n">
        <f>IF(O$5="","",O$5)</f>
        <v>46216</v>
      </c>
      <c r="P31" s="142" t="n">
        <f>IF(P$5="","",P$5)</f>
        <v>46217</v>
      </c>
      <c r="Q31" s="142" t="n">
        <f>IF(Q$5="","",Q$5)</f>
        <v>46218</v>
      </c>
      <c r="R31" s="142" t="n">
        <f>IF(R$5="","",R$5)</f>
        <v>46219</v>
      </c>
      <c r="S31" s="142" t="n">
        <f>IF(S$5="","",S$5)</f>
        <v>46220</v>
      </c>
      <c r="T31" s="142" t="n">
        <f>IF(T$5="","",T$5)</f>
        <v>46221</v>
      </c>
      <c r="U31" s="142" t="n">
        <f>IF(U$5="","",U$5)</f>
        <v>46222</v>
      </c>
      <c r="V31" s="142" t="n">
        <f>IF(V$5="","",V$5)</f>
        <v>46223</v>
      </c>
      <c r="W31" s="142" t="n">
        <f>IF(W$5="","",W$5)</f>
        <v>46224</v>
      </c>
      <c r="X31" s="142" t="n">
        <f>IF(X$5="","",X$5)</f>
        <v>46225</v>
      </c>
      <c r="Y31" s="142" t="n">
        <f>IF(Y$5="","",Y$5)</f>
        <v>46226</v>
      </c>
      <c r="Z31" s="142" t="n">
        <f>IF(Z$5="","",Z$5)</f>
        <v>46227</v>
      </c>
      <c r="AA31" s="142" t="n">
        <f>IF(AA$5="","",AA$5)</f>
        <v>46228</v>
      </c>
      <c r="AB31" s="142" t="n">
        <f>IF(AB$5="","",AB$5)</f>
        <v>46229</v>
      </c>
      <c r="AC31" s="142" t="n">
        <f>IF(AC$5="","",AC$5)</f>
        <v>46230</v>
      </c>
      <c r="AD31" s="142" t="n">
        <f>IF(AD$5="","",AD$5)</f>
        <v>46231</v>
      </c>
      <c r="AE31" s="142" t="n">
        <f>IF(AE$5="","",AE$5)</f>
        <v>46232</v>
      </c>
      <c r="AF31" s="142" t="n">
        <f>IF(AF$5="","",AF$5)</f>
        <v>46233</v>
      </c>
      <c r="AG31" s="142" t="n">
        <f>IF(AG$5="","",AG$5)</f>
        <v>46234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summary'!$C$4,7,1),DATE('Billable summary'!$C$4,8,0))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24" priority="1">
      <formula>OR(C$5="",WEEKDAY(C$5,2)&gt;5)</formula>
    </cfRule>
    <cfRule type="expression" dxfId="125" priority="2">
      <formula>AND(C$5="",NOT(ISBLANK(C7)))</formula>
    </cfRule>
  </conditionalFormatting>
  <conditionalFormatting sqref="C20:AG25">
    <cfRule type="expression" dxfId="126" priority="3">
      <formula>OR(C$5="",WEEKDAY(C$5,2)&gt;5)</formula>
    </cfRule>
    <cfRule type="expression" dxfId="127" priority="4">
      <formula>AND(C$5="",NOT(ISBLANK(C20)))</formula>
    </cfRule>
  </conditionalFormatting>
  <conditionalFormatting sqref="C32:AG35">
    <cfRule type="expression" dxfId="128" priority="5">
      <formula>OR(C$5="",WEEKDAY(C$5,2)&gt;5)</formula>
    </cfRule>
    <cfRule type="expression" dxfId="129" priority="6">
      <formula>AND(C$5="",NOT(ISBLANK(C32)))</formula>
    </cfRule>
  </conditionalFormatting>
  <conditionalFormatting sqref="I43:K43">
    <cfRule type="expression" dxfId="130" priority="7">
      <formula>AND(ISNUMBER($I$43),$I$43&gt;=$I$44)</formula>
    </cfRule>
    <cfRule type="expression" dxfId="131" priority="8">
      <formula>AND(ISNUMBER($I$43),$I$43&lt;$I$44)</formula>
    </cfRule>
  </conditionalFormatting>
  <conditionalFormatting sqref="B51:AH51">
    <cfRule type="containsText" dxfId="132" priority="9" operator="containsText" text="Check"/>
    <cfRule type="containsText" dxfId="133" priority="10" operator="containsText" text="Invalid"/>
    <cfRule type="containsText" dxfId="134" priority="11" operator="containsText" text="Negative"/>
    <cfRule type="containsText" dxfId="13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summary'!$C$4,8,1),"mmmm yyyy")</f>
        <v>August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summary'!$C$4,9,0)),DATE('Billable summary'!$C$4,8,1),"")</f>
        <v>46235</v>
      </c>
      <c r="D5" s="48" t="n">
        <f>IF(2&lt;=DAY(DATE('Billable summary'!$C$4,9,0)),DATE('Billable summary'!$C$4,8,2),"")</f>
        <v>46236</v>
      </c>
      <c r="E5" s="48" t="n">
        <f>IF(3&lt;=DAY(DATE('Billable summary'!$C$4,9,0)),DATE('Billable summary'!$C$4,8,3),"")</f>
        <v>46237</v>
      </c>
      <c r="F5" s="48" t="n">
        <f>IF(4&lt;=DAY(DATE('Billable summary'!$C$4,9,0)),DATE('Billable summary'!$C$4,8,4),"")</f>
        <v>46238</v>
      </c>
      <c r="G5" s="48" t="n">
        <f>IF(5&lt;=DAY(DATE('Billable summary'!$C$4,9,0)),DATE('Billable summary'!$C$4,8,5),"")</f>
        <v>46239</v>
      </c>
      <c r="H5" s="48" t="n">
        <f>IF(6&lt;=DAY(DATE('Billable summary'!$C$4,9,0)),DATE('Billable summary'!$C$4,8,6),"")</f>
        <v>46240</v>
      </c>
      <c r="I5" s="48" t="n">
        <f>IF(7&lt;=DAY(DATE('Billable summary'!$C$4,9,0)),DATE('Billable summary'!$C$4,8,7),"")</f>
        <v>46241</v>
      </c>
      <c r="J5" s="48" t="n">
        <f>IF(8&lt;=DAY(DATE('Billable summary'!$C$4,9,0)),DATE('Billable summary'!$C$4,8,8),"")</f>
        <v>46242</v>
      </c>
      <c r="K5" s="48" t="n">
        <f>IF(9&lt;=DAY(DATE('Billable summary'!$C$4,9,0)),DATE('Billable summary'!$C$4,8,9),"")</f>
        <v>46243</v>
      </c>
      <c r="L5" s="48" t="n">
        <f>IF(10&lt;=DAY(DATE('Billable summary'!$C$4,9,0)),DATE('Billable summary'!$C$4,8,10),"")</f>
        <v>46244</v>
      </c>
      <c r="M5" s="48" t="n">
        <f>IF(11&lt;=DAY(DATE('Billable summary'!$C$4,9,0)),DATE('Billable summary'!$C$4,8,11),"")</f>
        <v>46245</v>
      </c>
      <c r="N5" s="48" t="n">
        <f>IF(12&lt;=DAY(DATE('Billable summary'!$C$4,9,0)),DATE('Billable summary'!$C$4,8,12),"")</f>
        <v>46246</v>
      </c>
      <c r="O5" s="48" t="n">
        <f>IF(13&lt;=DAY(DATE('Billable summary'!$C$4,9,0)),DATE('Billable summary'!$C$4,8,13),"")</f>
        <v>46247</v>
      </c>
      <c r="P5" s="48" t="n">
        <f>IF(14&lt;=DAY(DATE('Billable summary'!$C$4,9,0)),DATE('Billable summary'!$C$4,8,14),"")</f>
        <v>46248</v>
      </c>
      <c r="Q5" s="48" t="n">
        <f>IF(15&lt;=DAY(DATE('Billable summary'!$C$4,9,0)),DATE('Billable summary'!$C$4,8,15),"")</f>
        <v>46249</v>
      </c>
      <c r="R5" s="48" t="n">
        <f>IF(16&lt;=DAY(DATE('Billable summary'!$C$4,9,0)),DATE('Billable summary'!$C$4,8,16),"")</f>
        <v>46250</v>
      </c>
      <c r="S5" s="48" t="n">
        <f>IF(17&lt;=DAY(DATE('Billable summary'!$C$4,9,0)),DATE('Billable summary'!$C$4,8,17),"")</f>
        <v>46251</v>
      </c>
      <c r="T5" s="48" t="n">
        <f>IF(18&lt;=DAY(DATE('Billable summary'!$C$4,9,0)),DATE('Billable summary'!$C$4,8,18),"")</f>
        <v>46252</v>
      </c>
      <c r="U5" s="48" t="n">
        <f>IF(19&lt;=DAY(DATE('Billable summary'!$C$4,9,0)),DATE('Billable summary'!$C$4,8,19),"")</f>
        <v>46253</v>
      </c>
      <c r="V5" s="48" t="n">
        <f>IF(20&lt;=DAY(DATE('Billable summary'!$C$4,9,0)),DATE('Billable summary'!$C$4,8,20),"")</f>
        <v>46254</v>
      </c>
      <c r="W5" s="48" t="n">
        <f>IF(21&lt;=DAY(DATE('Billable summary'!$C$4,9,0)),DATE('Billable summary'!$C$4,8,21),"")</f>
        <v>46255</v>
      </c>
      <c r="X5" s="48" t="n">
        <f>IF(22&lt;=DAY(DATE('Billable summary'!$C$4,9,0)),DATE('Billable summary'!$C$4,8,22),"")</f>
        <v>46256</v>
      </c>
      <c r="Y5" s="48" t="n">
        <f>IF(23&lt;=DAY(DATE('Billable summary'!$C$4,9,0)),DATE('Billable summary'!$C$4,8,23),"")</f>
        <v>46257</v>
      </c>
      <c r="Z5" s="48" t="n">
        <f>IF(24&lt;=DAY(DATE('Billable summary'!$C$4,9,0)),DATE('Billable summary'!$C$4,8,24),"")</f>
        <v>46258</v>
      </c>
      <c r="AA5" s="48" t="n">
        <f>IF(25&lt;=DAY(DATE('Billable summary'!$C$4,9,0)),DATE('Billable summary'!$C$4,8,25),"")</f>
        <v>46259</v>
      </c>
      <c r="AB5" s="48" t="n">
        <f>IF(26&lt;=DAY(DATE('Billable summary'!$C$4,9,0)),DATE('Billable summary'!$C$4,8,26),"")</f>
        <v>46260</v>
      </c>
      <c r="AC5" s="48" t="n">
        <f>IF(27&lt;=DAY(DATE('Billable summary'!$C$4,9,0)),DATE('Billable summary'!$C$4,8,27),"")</f>
        <v>46261</v>
      </c>
      <c r="AD5" s="48" t="n">
        <f>IF(28&lt;=DAY(DATE('Billable summary'!$C$4,9,0)),DATE('Billable summary'!$C$4,8,28),"")</f>
        <v>46262</v>
      </c>
      <c r="AE5" s="48" t="n">
        <f>IF(29&lt;=DAY(DATE('Billable summary'!$C$4,9,0)),DATE('Billable summary'!$C$4,8,29),"")</f>
        <v>46263</v>
      </c>
      <c r="AF5" s="48" t="n">
        <f>IF(30&lt;=DAY(DATE('Billable summary'!$C$4,9,0)),DATE('Billable summary'!$C$4,8,30),"")</f>
        <v>46264</v>
      </c>
      <c r="AG5" s="48" t="n">
        <f>IF(31&lt;=DAY(DATE('Billable summary'!$C$4,9,0)),DATE('Billable summary'!$C$4,8,31),"")</f>
        <v>46265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46235</v>
      </c>
      <c r="D6" s="142" t="n">
        <f>IF(D$5="","",D$5)</f>
        <v>46236</v>
      </c>
      <c r="E6" s="142" t="n">
        <f>IF(E$5="","",E$5)</f>
        <v>46237</v>
      </c>
      <c r="F6" s="142" t="n">
        <f>IF(F$5="","",F$5)</f>
        <v>46238</v>
      </c>
      <c r="G6" s="142" t="n">
        <f>IF(G$5="","",G$5)</f>
        <v>46239</v>
      </c>
      <c r="H6" s="142" t="n">
        <f>IF(H$5="","",H$5)</f>
        <v>46240</v>
      </c>
      <c r="I6" s="142" t="n">
        <f>IF(I$5="","",I$5)</f>
        <v>46241</v>
      </c>
      <c r="J6" s="142" t="n">
        <f>IF(J$5="","",J$5)</f>
        <v>46242</v>
      </c>
      <c r="K6" s="142" t="n">
        <f>IF(K$5="","",K$5)</f>
        <v>46243</v>
      </c>
      <c r="L6" s="142" t="n">
        <f>IF(L$5="","",L$5)</f>
        <v>46244</v>
      </c>
      <c r="M6" s="142" t="n">
        <f>IF(M$5="","",M$5)</f>
        <v>46245</v>
      </c>
      <c r="N6" s="142" t="n">
        <f>IF(N$5="","",N$5)</f>
        <v>46246</v>
      </c>
      <c r="O6" s="142" t="n">
        <f>IF(O$5="","",O$5)</f>
        <v>46247</v>
      </c>
      <c r="P6" s="142" t="n">
        <f>IF(P$5="","",P$5)</f>
        <v>46248</v>
      </c>
      <c r="Q6" s="142" t="n">
        <f>IF(Q$5="","",Q$5)</f>
        <v>46249</v>
      </c>
      <c r="R6" s="142" t="n">
        <f>IF(R$5="","",R$5)</f>
        <v>46250</v>
      </c>
      <c r="S6" s="142" t="n">
        <f>IF(S$5="","",S$5)</f>
        <v>46251</v>
      </c>
      <c r="T6" s="142" t="n">
        <f>IF(T$5="","",T$5)</f>
        <v>46252</v>
      </c>
      <c r="U6" s="142" t="n">
        <f>IF(U$5="","",U$5)</f>
        <v>46253</v>
      </c>
      <c r="V6" s="142" t="n">
        <f>IF(V$5="","",V$5)</f>
        <v>46254</v>
      </c>
      <c r="W6" s="142" t="n">
        <f>IF(W$5="","",W$5)</f>
        <v>46255</v>
      </c>
      <c r="X6" s="142" t="n">
        <f>IF(X$5="","",X$5)</f>
        <v>46256</v>
      </c>
      <c r="Y6" s="142" t="n">
        <f>IF(Y$5="","",Y$5)</f>
        <v>46257</v>
      </c>
      <c r="Z6" s="142" t="n">
        <f>IF(Z$5="","",Z$5)</f>
        <v>46258</v>
      </c>
      <c r="AA6" s="142" t="n">
        <f>IF(AA$5="","",AA$5)</f>
        <v>46259</v>
      </c>
      <c r="AB6" s="142" t="n">
        <f>IF(AB$5="","",AB$5)</f>
        <v>46260</v>
      </c>
      <c r="AC6" s="142" t="n">
        <f>IF(AC$5="","",AC$5)</f>
        <v>46261</v>
      </c>
      <c r="AD6" s="142" t="n">
        <f>IF(AD$5="","",AD$5)</f>
        <v>46262</v>
      </c>
      <c r="AE6" s="142" t="n">
        <f>IF(AE$5="","",AE$5)</f>
        <v>46263</v>
      </c>
      <c r="AF6" s="142" t="n">
        <f>IF(AF$5="","",AF$5)</f>
        <v>46264</v>
      </c>
      <c r="AG6" s="142" t="n">
        <f>IF(AG$5="","",AG$5)</f>
        <v>46265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46235</v>
      </c>
      <c r="D19" s="142" t="n">
        <f>IF(D$5="","",D$5)</f>
        <v>46236</v>
      </c>
      <c r="E19" s="142" t="n">
        <f>IF(E$5="","",E$5)</f>
        <v>46237</v>
      </c>
      <c r="F19" s="142" t="n">
        <f>IF(F$5="","",F$5)</f>
        <v>46238</v>
      </c>
      <c r="G19" s="142" t="n">
        <f>IF(G$5="","",G$5)</f>
        <v>46239</v>
      </c>
      <c r="H19" s="142" t="n">
        <f>IF(H$5="","",H$5)</f>
        <v>46240</v>
      </c>
      <c r="I19" s="142" t="n">
        <f>IF(I$5="","",I$5)</f>
        <v>46241</v>
      </c>
      <c r="J19" s="142" t="n">
        <f>IF(J$5="","",J$5)</f>
        <v>46242</v>
      </c>
      <c r="K19" s="142" t="n">
        <f>IF(K$5="","",K$5)</f>
        <v>46243</v>
      </c>
      <c r="L19" s="142" t="n">
        <f>IF(L$5="","",L$5)</f>
        <v>46244</v>
      </c>
      <c r="M19" s="142" t="n">
        <f>IF(M$5="","",M$5)</f>
        <v>46245</v>
      </c>
      <c r="N19" s="142" t="n">
        <f>IF(N$5="","",N$5)</f>
        <v>46246</v>
      </c>
      <c r="O19" s="142" t="n">
        <f>IF(O$5="","",O$5)</f>
        <v>46247</v>
      </c>
      <c r="P19" s="142" t="n">
        <f>IF(P$5="","",P$5)</f>
        <v>46248</v>
      </c>
      <c r="Q19" s="142" t="n">
        <f>IF(Q$5="","",Q$5)</f>
        <v>46249</v>
      </c>
      <c r="R19" s="142" t="n">
        <f>IF(R$5="","",R$5)</f>
        <v>46250</v>
      </c>
      <c r="S19" s="142" t="n">
        <f>IF(S$5="","",S$5)</f>
        <v>46251</v>
      </c>
      <c r="T19" s="142" t="n">
        <f>IF(T$5="","",T$5)</f>
        <v>46252</v>
      </c>
      <c r="U19" s="142" t="n">
        <f>IF(U$5="","",U$5)</f>
        <v>46253</v>
      </c>
      <c r="V19" s="142" t="n">
        <f>IF(V$5="","",V$5)</f>
        <v>46254</v>
      </c>
      <c r="W19" s="142" t="n">
        <f>IF(W$5="","",W$5)</f>
        <v>46255</v>
      </c>
      <c r="X19" s="142" t="n">
        <f>IF(X$5="","",X$5)</f>
        <v>46256</v>
      </c>
      <c r="Y19" s="142" t="n">
        <f>IF(Y$5="","",Y$5)</f>
        <v>46257</v>
      </c>
      <c r="Z19" s="142" t="n">
        <f>IF(Z$5="","",Z$5)</f>
        <v>46258</v>
      </c>
      <c r="AA19" s="142" t="n">
        <f>IF(AA$5="","",AA$5)</f>
        <v>46259</v>
      </c>
      <c r="AB19" s="142" t="n">
        <f>IF(AB$5="","",AB$5)</f>
        <v>46260</v>
      </c>
      <c r="AC19" s="142" t="n">
        <f>IF(AC$5="","",AC$5)</f>
        <v>46261</v>
      </c>
      <c r="AD19" s="142" t="n">
        <f>IF(AD$5="","",AD$5)</f>
        <v>46262</v>
      </c>
      <c r="AE19" s="142" t="n">
        <f>IF(AE$5="","",AE$5)</f>
        <v>46263</v>
      </c>
      <c r="AF19" s="142" t="n">
        <f>IF(AF$5="","",AF$5)</f>
        <v>46264</v>
      </c>
      <c r="AG19" s="142" t="n">
        <f>IF(AG$5="","",AG$5)</f>
        <v>46265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46235</v>
      </c>
      <c r="D30" s="48" t="n">
        <f>IF(D$5="","",D$5)</f>
        <v>46236</v>
      </c>
      <c r="E30" s="48" t="n">
        <f>IF(E$5="","",E$5)</f>
        <v>46237</v>
      </c>
      <c r="F30" s="48" t="n">
        <f>IF(F$5="","",F$5)</f>
        <v>46238</v>
      </c>
      <c r="G30" s="48" t="n">
        <f>IF(G$5="","",G$5)</f>
        <v>46239</v>
      </c>
      <c r="H30" s="48" t="n">
        <f>IF(H$5="","",H$5)</f>
        <v>46240</v>
      </c>
      <c r="I30" s="48" t="n">
        <f>IF(I$5="","",I$5)</f>
        <v>46241</v>
      </c>
      <c r="J30" s="48" t="n">
        <f>IF(J$5="","",J$5)</f>
        <v>46242</v>
      </c>
      <c r="K30" s="48" t="n">
        <f>IF(K$5="","",K$5)</f>
        <v>46243</v>
      </c>
      <c r="L30" s="48" t="n">
        <f>IF(L$5="","",L$5)</f>
        <v>46244</v>
      </c>
      <c r="M30" s="48" t="n">
        <f>IF(M$5="","",M$5)</f>
        <v>46245</v>
      </c>
      <c r="N30" s="48" t="n">
        <f>IF(N$5="","",N$5)</f>
        <v>46246</v>
      </c>
      <c r="O30" s="48" t="n">
        <f>IF(O$5="","",O$5)</f>
        <v>46247</v>
      </c>
      <c r="P30" s="48" t="n">
        <f>IF(P$5="","",P$5)</f>
        <v>46248</v>
      </c>
      <c r="Q30" s="48" t="n">
        <f>IF(Q$5="","",Q$5)</f>
        <v>46249</v>
      </c>
      <c r="R30" s="48" t="n">
        <f>IF(R$5="","",R$5)</f>
        <v>46250</v>
      </c>
      <c r="S30" s="48" t="n">
        <f>IF(S$5="","",S$5)</f>
        <v>46251</v>
      </c>
      <c r="T30" s="48" t="n">
        <f>IF(T$5="","",T$5)</f>
        <v>46252</v>
      </c>
      <c r="U30" s="48" t="n">
        <f>IF(U$5="","",U$5)</f>
        <v>46253</v>
      </c>
      <c r="V30" s="48" t="n">
        <f>IF(V$5="","",V$5)</f>
        <v>46254</v>
      </c>
      <c r="W30" s="48" t="n">
        <f>IF(W$5="","",W$5)</f>
        <v>46255</v>
      </c>
      <c r="X30" s="48" t="n">
        <f>IF(X$5="","",X$5)</f>
        <v>46256</v>
      </c>
      <c r="Y30" s="48" t="n">
        <f>IF(Y$5="","",Y$5)</f>
        <v>46257</v>
      </c>
      <c r="Z30" s="48" t="n">
        <f>IF(Z$5="","",Z$5)</f>
        <v>46258</v>
      </c>
      <c r="AA30" s="48" t="n">
        <f>IF(AA$5="","",AA$5)</f>
        <v>46259</v>
      </c>
      <c r="AB30" s="48" t="n">
        <f>IF(AB$5="","",AB$5)</f>
        <v>46260</v>
      </c>
      <c r="AC30" s="48" t="n">
        <f>IF(AC$5="","",AC$5)</f>
        <v>46261</v>
      </c>
      <c r="AD30" s="48" t="n">
        <f>IF(AD$5="","",AD$5)</f>
        <v>46262</v>
      </c>
      <c r="AE30" s="48" t="n">
        <f>IF(AE$5="","",AE$5)</f>
        <v>46263</v>
      </c>
      <c r="AF30" s="48" t="n">
        <f>IF(AF$5="","",AF$5)</f>
        <v>46264</v>
      </c>
      <c r="AG30" s="48" t="n">
        <f>IF(AG$5="","",AG$5)</f>
        <v>46265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46235</v>
      </c>
      <c r="D31" s="142" t="n">
        <f>IF(D$5="","",D$5)</f>
        <v>46236</v>
      </c>
      <c r="E31" s="142" t="n">
        <f>IF(E$5="","",E$5)</f>
        <v>46237</v>
      </c>
      <c r="F31" s="142" t="n">
        <f>IF(F$5="","",F$5)</f>
        <v>46238</v>
      </c>
      <c r="G31" s="142" t="n">
        <f>IF(G$5="","",G$5)</f>
        <v>46239</v>
      </c>
      <c r="H31" s="142" t="n">
        <f>IF(H$5="","",H$5)</f>
        <v>46240</v>
      </c>
      <c r="I31" s="142" t="n">
        <f>IF(I$5="","",I$5)</f>
        <v>46241</v>
      </c>
      <c r="J31" s="142" t="n">
        <f>IF(J$5="","",J$5)</f>
        <v>46242</v>
      </c>
      <c r="K31" s="142" t="n">
        <f>IF(K$5="","",K$5)</f>
        <v>46243</v>
      </c>
      <c r="L31" s="142" t="n">
        <f>IF(L$5="","",L$5)</f>
        <v>46244</v>
      </c>
      <c r="M31" s="142" t="n">
        <f>IF(M$5="","",M$5)</f>
        <v>46245</v>
      </c>
      <c r="N31" s="142" t="n">
        <f>IF(N$5="","",N$5)</f>
        <v>46246</v>
      </c>
      <c r="O31" s="142" t="n">
        <f>IF(O$5="","",O$5)</f>
        <v>46247</v>
      </c>
      <c r="P31" s="142" t="n">
        <f>IF(P$5="","",P$5)</f>
        <v>46248</v>
      </c>
      <c r="Q31" s="142" t="n">
        <f>IF(Q$5="","",Q$5)</f>
        <v>46249</v>
      </c>
      <c r="R31" s="142" t="n">
        <f>IF(R$5="","",R$5)</f>
        <v>46250</v>
      </c>
      <c r="S31" s="142" t="n">
        <f>IF(S$5="","",S$5)</f>
        <v>46251</v>
      </c>
      <c r="T31" s="142" t="n">
        <f>IF(T$5="","",T$5)</f>
        <v>46252</v>
      </c>
      <c r="U31" s="142" t="n">
        <f>IF(U$5="","",U$5)</f>
        <v>46253</v>
      </c>
      <c r="V31" s="142" t="n">
        <f>IF(V$5="","",V$5)</f>
        <v>46254</v>
      </c>
      <c r="W31" s="142" t="n">
        <f>IF(W$5="","",W$5)</f>
        <v>46255</v>
      </c>
      <c r="X31" s="142" t="n">
        <f>IF(X$5="","",X$5)</f>
        <v>46256</v>
      </c>
      <c r="Y31" s="142" t="n">
        <f>IF(Y$5="","",Y$5)</f>
        <v>46257</v>
      </c>
      <c r="Z31" s="142" t="n">
        <f>IF(Z$5="","",Z$5)</f>
        <v>46258</v>
      </c>
      <c r="AA31" s="142" t="n">
        <f>IF(AA$5="","",AA$5)</f>
        <v>46259</v>
      </c>
      <c r="AB31" s="142" t="n">
        <f>IF(AB$5="","",AB$5)</f>
        <v>46260</v>
      </c>
      <c r="AC31" s="142" t="n">
        <f>IF(AC$5="","",AC$5)</f>
        <v>46261</v>
      </c>
      <c r="AD31" s="142" t="n">
        <f>IF(AD$5="","",AD$5)</f>
        <v>46262</v>
      </c>
      <c r="AE31" s="142" t="n">
        <f>IF(AE$5="","",AE$5)</f>
        <v>46263</v>
      </c>
      <c r="AF31" s="142" t="n">
        <f>IF(AF$5="","",AF$5)</f>
        <v>46264</v>
      </c>
      <c r="AG31" s="142" t="n">
        <f>IF(AG$5="","",AG$5)</f>
        <v>46265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summary'!$C$4,8,1),DATE('Billable summary'!$C$4,9,0))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36" priority="1">
      <formula>OR(C$5="",WEEKDAY(C$5,2)&gt;5)</formula>
    </cfRule>
    <cfRule type="expression" dxfId="137" priority="2">
      <formula>AND(C$5="",NOT(ISBLANK(C7)))</formula>
    </cfRule>
  </conditionalFormatting>
  <conditionalFormatting sqref="C20:AG25">
    <cfRule type="expression" dxfId="138" priority="3">
      <formula>OR(C$5="",WEEKDAY(C$5,2)&gt;5)</formula>
    </cfRule>
    <cfRule type="expression" dxfId="139" priority="4">
      <formula>AND(C$5="",NOT(ISBLANK(C20)))</formula>
    </cfRule>
  </conditionalFormatting>
  <conditionalFormatting sqref="C32:AG35">
    <cfRule type="expression" dxfId="140" priority="5">
      <formula>OR(C$5="",WEEKDAY(C$5,2)&gt;5)</formula>
    </cfRule>
    <cfRule type="expression" dxfId="141" priority="6">
      <formula>AND(C$5="",NOT(ISBLANK(C32)))</formula>
    </cfRule>
  </conditionalFormatting>
  <conditionalFormatting sqref="I43:K43">
    <cfRule type="expression" dxfId="142" priority="7">
      <formula>AND(ISNUMBER($I$43),$I$43&gt;=$I$44)</formula>
    </cfRule>
    <cfRule type="expression" dxfId="143" priority="8">
      <formula>AND(ISNUMBER($I$43),$I$43&lt;$I$44)</formula>
    </cfRule>
  </conditionalFormatting>
  <conditionalFormatting sqref="B51:AH51">
    <cfRule type="containsText" dxfId="144" priority="9" operator="containsText" text="Check"/>
    <cfRule type="containsText" dxfId="145" priority="10" operator="containsText" text="Invalid"/>
    <cfRule type="containsText" dxfId="146" priority="11" operator="containsText" text="Negative"/>
    <cfRule type="containsText" dxfId="147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summary'!$C$4,9,1),"mmmm yyyy")</f>
        <v>September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summary'!$C$4,10,0)),DATE('Billable summary'!$C$4,9,1),"")</f>
        <v>46266</v>
      </c>
      <c r="D5" s="48" t="n">
        <f>IF(2&lt;=DAY(DATE('Billable summary'!$C$4,10,0)),DATE('Billable summary'!$C$4,9,2),"")</f>
        <v>46267</v>
      </c>
      <c r="E5" s="48" t="n">
        <f>IF(3&lt;=DAY(DATE('Billable summary'!$C$4,10,0)),DATE('Billable summary'!$C$4,9,3),"")</f>
        <v>46268</v>
      </c>
      <c r="F5" s="48" t="n">
        <f>IF(4&lt;=DAY(DATE('Billable summary'!$C$4,10,0)),DATE('Billable summary'!$C$4,9,4),"")</f>
        <v>46269</v>
      </c>
      <c r="G5" s="48" t="n">
        <f>IF(5&lt;=DAY(DATE('Billable summary'!$C$4,10,0)),DATE('Billable summary'!$C$4,9,5),"")</f>
        <v>46270</v>
      </c>
      <c r="H5" s="48" t="n">
        <f>IF(6&lt;=DAY(DATE('Billable summary'!$C$4,10,0)),DATE('Billable summary'!$C$4,9,6),"")</f>
        <v>46271</v>
      </c>
      <c r="I5" s="48" t="n">
        <f>IF(7&lt;=DAY(DATE('Billable summary'!$C$4,10,0)),DATE('Billable summary'!$C$4,9,7),"")</f>
        <v>46272</v>
      </c>
      <c r="J5" s="48" t="n">
        <f>IF(8&lt;=DAY(DATE('Billable summary'!$C$4,10,0)),DATE('Billable summary'!$C$4,9,8),"")</f>
        <v>46273</v>
      </c>
      <c r="K5" s="48" t="n">
        <f>IF(9&lt;=DAY(DATE('Billable summary'!$C$4,10,0)),DATE('Billable summary'!$C$4,9,9),"")</f>
        <v>46274</v>
      </c>
      <c r="L5" s="48" t="n">
        <f>IF(10&lt;=DAY(DATE('Billable summary'!$C$4,10,0)),DATE('Billable summary'!$C$4,9,10),"")</f>
        <v>46275</v>
      </c>
      <c r="M5" s="48" t="n">
        <f>IF(11&lt;=DAY(DATE('Billable summary'!$C$4,10,0)),DATE('Billable summary'!$C$4,9,11),"")</f>
        <v>46276</v>
      </c>
      <c r="N5" s="48" t="n">
        <f>IF(12&lt;=DAY(DATE('Billable summary'!$C$4,10,0)),DATE('Billable summary'!$C$4,9,12),"")</f>
        <v>46277</v>
      </c>
      <c r="O5" s="48" t="n">
        <f>IF(13&lt;=DAY(DATE('Billable summary'!$C$4,10,0)),DATE('Billable summary'!$C$4,9,13),"")</f>
        <v>46278</v>
      </c>
      <c r="P5" s="48" t="n">
        <f>IF(14&lt;=DAY(DATE('Billable summary'!$C$4,10,0)),DATE('Billable summary'!$C$4,9,14),"")</f>
        <v>46279</v>
      </c>
      <c r="Q5" s="48" t="n">
        <f>IF(15&lt;=DAY(DATE('Billable summary'!$C$4,10,0)),DATE('Billable summary'!$C$4,9,15),"")</f>
        <v>46280</v>
      </c>
      <c r="R5" s="48" t="n">
        <f>IF(16&lt;=DAY(DATE('Billable summary'!$C$4,10,0)),DATE('Billable summary'!$C$4,9,16),"")</f>
        <v>46281</v>
      </c>
      <c r="S5" s="48" t="n">
        <f>IF(17&lt;=DAY(DATE('Billable summary'!$C$4,10,0)),DATE('Billable summary'!$C$4,9,17),"")</f>
        <v>46282</v>
      </c>
      <c r="T5" s="48" t="n">
        <f>IF(18&lt;=DAY(DATE('Billable summary'!$C$4,10,0)),DATE('Billable summary'!$C$4,9,18),"")</f>
        <v>46283</v>
      </c>
      <c r="U5" s="48" t="n">
        <f>IF(19&lt;=DAY(DATE('Billable summary'!$C$4,10,0)),DATE('Billable summary'!$C$4,9,19),"")</f>
        <v>46284</v>
      </c>
      <c r="V5" s="48" t="n">
        <f>IF(20&lt;=DAY(DATE('Billable summary'!$C$4,10,0)),DATE('Billable summary'!$C$4,9,20),"")</f>
        <v>46285</v>
      </c>
      <c r="W5" s="48" t="n">
        <f>IF(21&lt;=DAY(DATE('Billable summary'!$C$4,10,0)),DATE('Billable summary'!$C$4,9,21),"")</f>
        <v>46286</v>
      </c>
      <c r="X5" s="48" t="n">
        <f>IF(22&lt;=DAY(DATE('Billable summary'!$C$4,10,0)),DATE('Billable summary'!$C$4,9,22),"")</f>
        <v>46287</v>
      </c>
      <c r="Y5" s="48" t="n">
        <f>IF(23&lt;=DAY(DATE('Billable summary'!$C$4,10,0)),DATE('Billable summary'!$C$4,9,23),"")</f>
        <v>46288</v>
      </c>
      <c r="Z5" s="48" t="n">
        <f>IF(24&lt;=DAY(DATE('Billable summary'!$C$4,10,0)),DATE('Billable summary'!$C$4,9,24),"")</f>
        <v>46289</v>
      </c>
      <c r="AA5" s="48" t="n">
        <f>IF(25&lt;=DAY(DATE('Billable summary'!$C$4,10,0)),DATE('Billable summary'!$C$4,9,25),"")</f>
        <v>46290</v>
      </c>
      <c r="AB5" s="48" t="n">
        <f>IF(26&lt;=DAY(DATE('Billable summary'!$C$4,10,0)),DATE('Billable summary'!$C$4,9,26),"")</f>
        <v>46291</v>
      </c>
      <c r="AC5" s="48" t="n">
        <f>IF(27&lt;=DAY(DATE('Billable summary'!$C$4,10,0)),DATE('Billable summary'!$C$4,9,27),"")</f>
        <v>46292</v>
      </c>
      <c r="AD5" s="48" t="n">
        <f>IF(28&lt;=DAY(DATE('Billable summary'!$C$4,10,0)),DATE('Billable summary'!$C$4,9,28),"")</f>
        <v>46293</v>
      </c>
      <c r="AE5" s="48" t="n">
        <f>IF(29&lt;=DAY(DATE('Billable summary'!$C$4,10,0)),DATE('Billable summary'!$C$4,9,29),"")</f>
        <v>46294</v>
      </c>
      <c r="AF5" s="48" t="n">
        <f>IF(30&lt;=DAY(DATE('Billable summary'!$C$4,10,0)),DATE('Billable summary'!$C$4,9,30),"")</f>
        <v>46295</v>
      </c>
      <c r="AG5" s="48" t="str">
        <f>IF(31&lt;=DAY(DATE('Billable summary'!$C$4,10,0)),DATE('Billable summary'!$C$4,9,31),"")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46266</v>
      </c>
      <c r="D6" s="142" t="n">
        <f>IF(D$5="","",D$5)</f>
        <v>46267</v>
      </c>
      <c r="E6" s="142" t="n">
        <f>IF(E$5="","",E$5)</f>
        <v>46268</v>
      </c>
      <c r="F6" s="142" t="n">
        <f>IF(F$5="","",F$5)</f>
        <v>46269</v>
      </c>
      <c r="G6" s="142" t="n">
        <f>IF(G$5="","",G$5)</f>
        <v>46270</v>
      </c>
      <c r="H6" s="142" t="n">
        <f>IF(H$5="","",H$5)</f>
        <v>46271</v>
      </c>
      <c r="I6" s="142" t="n">
        <f>IF(I$5="","",I$5)</f>
        <v>46272</v>
      </c>
      <c r="J6" s="142" t="n">
        <f>IF(J$5="","",J$5)</f>
        <v>46273</v>
      </c>
      <c r="K6" s="142" t="n">
        <f>IF(K$5="","",K$5)</f>
        <v>46274</v>
      </c>
      <c r="L6" s="142" t="n">
        <f>IF(L$5="","",L$5)</f>
        <v>46275</v>
      </c>
      <c r="M6" s="142" t="n">
        <f>IF(M$5="","",M$5)</f>
        <v>46276</v>
      </c>
      <c r="N6" s="142" t="n">
        <f>IF(N$5="","",N$5)</f>
        <v>46277</v>
      </c>
      <c r="O6" s="142" t="n">
        <f>IF(O$5="","",O$5)</f>
        <v>46278</v>
      </c>
      <c r="P6" s="142" t="n">
        <f>IF(P$5="","",P$5)</f>
        <v>46279</v>
      </c>
      <c r="Q6" s="142" t="n">
        <f>IF(Q$5="","",Q$5)</f>
        <v>46280</v>
      </c>
      <c r="R6" s="142" t="n">
        <f>IF(R$5="","",R$5)</f>
        <v>46281</v>
      </c>
      <c r="S6" s="142" t="n">
        <f>IF(S$5="","",S$5)</f>
        <v>46282</v>
      </c>
      <c r="T6" s="142" t="n">
        <f>IF(T$5="","",T$5)</f>
        <v>46283</v>
      </c>
      <c r="U6" s="142" t="n">
        <f>IF(U$5="","",U$5)</f>
        <v>46284</v>
      </c>
      <c r="V6" s="142" t="n">
        <f>IF(V$5="","",V$5)</f>
        <v>46285</v>
      </c>
      <c r="W6" s="142" t="n">
        <f>IF(W$5="","",W$5)</f>
        <v>46286</v>
      </c>
      <c r="X6" s="142" t="n">
        <f>IF(X$5="","",X$5)</f>
        <v>46287</v>
      </c>
      <c r="Y6" s="142" t="n">
        <f>IF(Y$5="","",Y$5)</f>
        <v>46288</v>
      </c>
      <c r="Z6" s="142" t="n">
        <f>IF(Z$5="","",Z$5)</f>
        <v>46289</v>
      </c>
      <c r="AA6" s="142" t="n">
        <f>IF(AA$5="","",AA$5)</f>
        <v>46290</v>
      </c>
      <c r="AB6" s="142" t="n">
        <f>IF(AB$5="","",AB$5)</f>
        <v>46291</v>
      </c>
      <c r="AC6" s="142" t="n">
        <f>IF(AC$5="","",AC$5)</f>
        <v>46292</v>
      </c>
      <c r="AD6" s="142" t="n">
        <f>IF(AD$5="","",AD$5)</f>
        <v>46293</v>
      </c>
      <c r="AE6" s="142" t="n">
        <f>IF(AE$5="","",AE$5)</f>
        <v>46294</v>
      </c>
      <c r="AF6" s="142" t="n">
        <f>IF(AF$5="","",AF$5)</f>
        <v>46295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46266</v>
      </c>
      <c r="D19" s="142" t="n">
        <f>IF(D$5="","",D$5)</f>
        <v>46267</v>
      </c>
      <c r="E19" s="142" t="n">
        <f>IF(E$5="","",E$5)</f>
        <v>46268</v>
      </c>
      <c r="F19" s="142" t="n">
        <f>IF(F$5="","",F$5)</f>
        <v>46269</v>
      </c>
      <c r="G19" s="142" t="n">
        <f>IF(G$5="","",G$5)</f>
        <v>46270</v>
      </c>
      <c r="H19" s="142" t="n">
        <f>IF(H$5="","",H$5)</f>
        <v>46271</v>
      </c>
      <c r="I19" s="142" t="n">
        <f>IF(I$5="","",I$5)</f>
        <v>46272</v>
      </c>
      <c r="J19" s="142" t="n">
        <f>IF(J$5="","",J$5)</f>
        <v>46273</v>
      </c>
      <c r="K19" s="142" t="n">
        <f>IF(K$5="","",K$5)</f>
        <v>46274</v>
      </c>
      <c r="L19" s="142" t="n">
        <f>IF(L$5="","",L$5)</f>
        <v>46275</v>
      </c>
      <c r="M19" s="142" t="n">
        <f>IF(M$5="","",M$5)</f>
        <v>46276</v>
      </c>
      <c r="N19" s="142" t="n">
        <f>IF(N$5="","",N$5)</f>
        <v>46277</v>
      </c>
      <c r="O19" s="142" t="n">
        <f>IF(O$5="","",O$5)</f>
        <v>46278</v>
      </c>
      <c r="P19" s="142" t="n">
        <f>IF(P$5="","",P$5)</f>
        <v>46279</v>
      </c>
      <c r="Q19" s="142" t="n">
        <f>IF(Q$5="","",Q$5)</f>
        <v>46280</v>
      </c>
      <c r="R19" s="142" t="n">
        <f>IF(R$5="","",R$5)</f>
        <v>46281</v>
      </c>
      <c r="S19" s="142" t="n">
        <f>IF(S$5="","",S$5)</f>
        <v>46282</v>
      </c>
      <c r="T19" s="142" t="n">
        <f>IF(T$5="","",T$5)</f>
        <v>46283</v>
      </c>
      <c r="U19" s="142" t="n">
        <f>IF(U$5="","",U$5)</f>
        <v>46284</v>
      </c>
      <c r="V19" s="142" t="n">
        <f>IF(V$5="","",V$5)</f>
        <v>46285</v>
      </c>
      <c r="W19" s="142" t="n">
        <f>IF(W$5="","",W$5)</f>
        <v>46286</v>
      </c>
      <c r="X19" s="142" t="n">
        <f>IF(X$5="","",X$5)</f>
        <v>46287</v>
      </c>
      <c r="Y19" s="142" t="n">
        <f>IF(Y$5="","",Y$5)</f>
        <v>46288</v>
      </c>
      <c r="Z19" s="142" t="n">
        <f>IF(Z$5="","",Z$5)</f>
        <v>46289</v>
      </c>
      <c r="AA19" s="142" t="n">
        <f>IF(AA$5="","",AA$5)</f>
        <v>46290</v>
      </c>
      <c r="AB19" s="142" t="n">
        <f>IF(AB$5="","",AB$5)</f>
        <v>46291</v>
      </c>
      <c r="AC19" s="142" t="n">
        <f>IF(AC$5="","",AC$5)</f>
        <v>46292</v>
      </c>
      <c r="AD19" s="142" t="n">
        <f>IF(AD$5="","",AD$5)</f>
        <v>46293</v>
      </c>
      <c r="AE19" s="142" t="n">
        <f>IF(AE$5="","",AE$5)</f>
        <v>46294</v>
      </c>
      <c r="AF19" s="142" t="n">
        <f>IF(AF$5="","",AF$5)</f>
        <v>46295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46266</v>
      </c>
      <c r="D30" s="48" t="n">
        <f>IF(D$5="","",D$5)</f>
        <v>46267</v>
      </c>
      <c r="E30" s="48" t="n">
        <f>IF(E$5="","",E$5)</f>
        <v>46268</v>
      </c>
      <c r="F30" s="48" t="n">
        <f>IF(F$5="","",F$5)</f>
        <v>46269</v>
      </c>
      <c r="G30" s="48" t="n">
        <f>IF(G$5="","",G$5)</f>
        <v>46270</v>
      </c>
      <c r="H30" s="48" t="n">
        <f>IF(H$5="","",H$5)</f>
        <v>46271</v>
      </c>
      <c r="I30" s="48" t="n">
        <f>IF(I$5="","",I$5)</f>
        <v>46272</v>
      </c>
      <c r="J30" s="48" t="n">
        <f>IF(J$5="","",J$5)</f>
        <v>46273</v>
      </c>
      <c r="K30" s="48" t="n">
        <f>IF(K$5="","",K$5)</f>
        <v>46274</v>
      </c>
      <c r="L30" s="48" t="n">
        <f>IF(L$5="","",L$5)</f>
        <v>46275</v>
      </c>
      <c r="M30" s="48" t="n">
        <f>IF(M$5="","",M$5)</f>
        <v>46276</v>
      </c>
      <c r="N30" s="48" t="n">
        <f>IF(N$5="","",N$5)</f>
        <v>46277</v>
      </c>
      <c r="O30" s="48" t="n">
        <f>IF(O$5="","",O$5)</f>
        <v>46278</v>
      </c>
      <c r="P30" s="48" t="n">
        <f>IF(P$5="","",P$5)</f>
        <v>46279</v>
      </c>
      <c r="Q30" s="48" t="n">
        <f>IF(Q$5="","",Q$5)</f>
        <v>46280</v>
      </c>
      <c r="R30" s="48" t="n">
        <f>IF(R$5="","",R$5)</f>
        <v>46281</v>
      </c>
      <c r="S30" s="48" t="n">
        <f>IF(S$5="","",S$5)</f>
        <v>46282</v>
      </c>
      <c r="T30" s="48" t="n">
        <f>IF(T$5="","",T$5)</f>
        <v>46283</v>
      </c>
      <c r="U30" s="48" t="n">
        <f>IF(U$5="","",U$5)</f>
        <v>46284</v>
      </c>
      <c r="V30" s="48" t="n">
        <f>IF(V$5="","",V$5)</f>
        <v>46285</v>
      </c>
      <c r="W30" s="48" t="n">
        <f>IF(W$5="","",W$5)</f>
        <v>46286</v>
      </c>
      <c r="X30" s="48" t="n">
        <f>IF(X$5="","",X$5)</f>
        <v>46287</v>
      </c>
      <c r="Y30" s="48" t="n">
        <f>IF(Y$5="","",Y$5)</f>
        <v>46288</v>
      </c>
      <c r="Z30" s="48" t="n">
        <f>IF(Z$5="","",Z$5)</f>
        <v>46289</v>
      </c>
      <c r="AA30" s="48" t="n">
        <f>IF(AA$5="","",AA$5)</f>
        <v>46290</v>
      </c>
      <c r="AB30" s="48" t="n">
        <f>IF(AB$5="","",AB$5)</f>
        <v>46291</v>
      </c>
      <c r="AC30" s="48" t="n">
        <f>IF(AC$5="","",AC$5)</f>
        <v>46292</v>
      </c>
      <c r="AD30" s="48" t="n">
        <f>IF(AD$5="","",AD$5)</f>
        <v>46293</v>
      </c>
      <c r="AE30" s="48" t="n">
        <f>IF(AE$5="","",AE$5)</f>
        <v>46294</v>
      </c>
      <c r="AF30" s="48" t="n">
        <f>IF(AF$5="","",AF$5)</f>
        <v>46295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46266</v>
      </c>
      <c r="D31" s="142" t="n">
        <f>IF(D$5="","",D$5)</f>
        <v>46267</v>
      </c>
      <c r="E31" s="142" t="n">
        <f>IF(E$5="","",E$5)</f>
        <v>46268</v>
      </c>
      <c r="F31" s="142" t="n">
        <f>IF(F$5="","",F$5)</f>
        <v>46269</v>
      </c>
      <c r="G31" s="142" t="n">
        <f>IF(G$5="","",G$5)</f>
        <v>46270</v>
      </c>
      <c r="H31" s="142" t="n">
        <f>IF(H$5="","",H$5)</f>
        <v>46271</v>
      </c>
      <c r="I31" s="142" t="n">
        <f>IF(I$5="","",I$5)</f>
        <v>46272</v>
      </c>
      <c r="J31" s="142" t="n">
        <f>IF(J$5="","",J$5)</f>
        <v>46273</v>
      </c>
      <c r="K31" s="142" t="n">
        <f>IF(K$5="","",K$5)</f>
        <v>46274</v>
      </c>
      <c r="L31" s="142" t="n">
        <f>IF(L$5="","",L$5)</f>
        <v>46275</v>
      </c>
      <c r="M31" s="142" t="n">
        <f>IF(M$5="","",M$5)</f>
        <v>46276</v>
      </c>
      <c r="N31" s="142" t="n">
        <f>IF(N$5="","",N$5)</f>
        <v>46277</v>
      </c>
      <c r="O31" s="142" t="n">
        <f>IF(O$5="","",O$5)</f>
        <v>46278</v>
      </c>
      <c r="P31" s="142" t="n">
        <f>IF(P$5="","",P$5)</f>
        <v>46279</v>
      </c>
      <c r="Q31" s="142" t="n">
        <f>IF(Q$5="","",Q$5)</f>
        <v>46280</v>
      </c>
      <c r="R31" s="142" t="n">
        <f>IF(R$5="","",R$5)</f>
        <v>46281</v>
      </c>
      <c r="S31" s="142" t="n">
        <f>IF(S$5="","",S$5)</f>
        <v>46282</v>
      </c>
      <c r="T31" s="142" t="n">
        <f>IF(T$5="","",T$5)</f>
        <v>46283</v>
      </c>
      <c r="U31" s="142" t="n">
        <f>IF(U$5="","",U$5)</f>
        <v>46284</v>
      </c>
      <c r="V31" s="142" t="n">
        <f>IF(V$5="","",V$5)</f>
        <v>46285</v>
      </c>
      <c r="W31" s="142" t="n">
        <f>IF(W$5="","",W$5)</f>
        <v>46286</v>
      </c>
      <c r="X31" s="142" t="n">
        <f>IF(X$5="","",X$5)</f>
        <v>46287</v>
      </c>
      <c r="Y31" s="142" t="n">
        <f>IF(Y$5="","",Y$5)</f>
        <v>46288</v>
      </c>
      <c r="Z31" s="142" t="n">
        <f>IF(Z$5="","",Z$5)</f>
        <v>46289</v>
      </c>
      <c r="AA31" s="142" t="n">
        <f>IF(AA$5="","",AA$5)</f>
        <v>46290</v>
      </c>
      <c r="AB31" s="142" t="n">
        <f>IF(AB$5="","",AB$5)</f>
        <v>46291</v>
      </c>
      <c r="AC31" s="142" t="n">
        <f>IF(AC$5="","",AC$5)</f>
        <v>46292</v>
      </c>
      <c r="AD31" s="142" t="n">
        <f>IF(AD$5="","",AD$5)</f>
        <v>46293</v>
      </c>
      <c r="AE31" s="142" t="n">
        <f>IF(AE$5="","",AE$5)</f>
        <v>46294</v>
      </c>
      <c r="AF31" s="142" t="n">
        <f>IF(AF$5="","",AF$5)</f>
        <v>46295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summary'!$C$4,9,1),DATE('Billable summary'!$C$4,10,0))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48" priority="1">
      <formula>OR(C$5="",WEEKDAY(C$5,2)&gt;5)</formula>
    </cfRule>
    <cfRule type="expression" dxfId="149" priority="2">
      <formula>AND(C$5="",NOT(ISBLANK(C7)))</formula>
    </cfRule>
  </conditionalFormatting>
  <conditionalFormatting sqref="C20:AG25">
    <cfRule type="expression" dxfId="150" priority="3">
      <formula>OR(C$5="",WEEKDAY(C$5,2)&gt;5)</formula>
    </cfRule>
    <cfRule type="expression" dxfId="151" priority="4">
      <formula>AND(C$5="",NOT(ISBLANK(C20)))</formula>
    </cfRule>
  </conditionalFormatting>
  <conditionalFormatting sqref="C32:AG35">
    <cfRule type="expression" dxfId="152" priority="5">
      <formula>OR(C$5="",WEEKDAY(C$5,2)&gt;5)</formula>
    </cfRule>
    <cfRule type="expression" dxfId="153" priority="6">
      <formula>AND(C$5="",NOT(ISBLANK(C32)))</formula>
    </cfRule>
  </conditionalFormatting>
  <conditionalFormatting sqref="I43:K43">
    <cfRule type="expression" dxfId="154" priority="7">
      <formula>AND(ISNUMBER($I$43),$I$43&gt;=$I$44)</formula>
    </cfRule>
    <cfRule type="expression" dxfId="155" priority="8">
      <formula>AND(ISNUMBER($I$43),$I$43&lt;$I$44)</formula>
    </cfRule>
  </conditionalFormatting>
  <conditionalFormatting sqref="B51:AH51">
    <cfRule type="containsText" dxfId="156" priority="9" operator="containsText" text="Check"/>
    <cfRule type="containsText" dxfId="157" priority="10" operator="containsText" text="Invalid"/>
    <cfRule type="containsText" dxfId="158" priority="11" operator="containsText" text="Negative"/>
    <cfRule type="containsText" dxfId="159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summary'!$C$4,10,1),"mmmm yyyy")</f>
        <v>October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summary'!$C$4,11,0)),DATE('Billable summary'!$C$4,10,1),"")</f>
        <v>46296</v>
      </c>
      <c r="D5" s="48" t="n">
        <f>IF(2&lt;=DAY(DATE('Billable summary'!$C$4,11,0)),DATE('Billable summary'!$C$4,10,2),"")</f>
        <v>46297</v>
      </c>
      <c r="E5" s="48" t="n">
        <f>IF(3&lt;=DAY(DATE('Billable summary'!$C$4,11,0)),DATE('Billable summary'!$C$4,10,3),"")</f>
        <v>46298</v>
      </c>
      <c r="F5" s="48" t="n">
        <f>IF(4&lt;=DAY(DATE('Billable summary'!$C$4,11,0)),DATE('Billable summary'!$C$4,10,4),"")</f>
        <v>46299</v>
      </c>
      <c r="G5" s="48" t="n">
        <f>IF(5&lt;=DAY(DATE('Billable summary'!$C$4,11,0)),DATE('Billable summary'!$C$4,10,5),"")</f>
        <v>46300</v>
      </c>
      <c r="H5" s="48" t="n">
        <f>IF(6&lt;=DAY(DATE('Billable summary'!$C$4,11,0)),DATE('Billable summary'!$C$4,10,6),"")</f>
        <v>46301</v>
      </c>
      <c r="I5" s="48" t="n">
        <f>IF(7&lt;=DAY(DATE('Billable summary'!$C$4,11,0)),DATE('Billable summary'!$C$4,10,7),"")</f>
        <v>46302</v>
      </c>
      <c r="J5" s="48" t="n">
        <f>IF(8&lt;=DAY(DATE('Billable summary'!$C$4,11,0)),DATE('Billable summary'!$C$4,10,8),"")</f>
        <v>46303</v>
      </c>
      <c r="K5" s="48" t="n">
        <f>IF(9&lt;=DAY(DATE('Billable summary'!$C$4,11,0)),DATE('Billable summary'!$C$4,10,9),"")</f>
        <v>46304</v>
      </c>
      <c r="L5" s="48" t="n">
        <f>IF(10&lt;=DAY(DATE('Billable summary'!$C$4,11,0)),DATE('Billable summary'!$C$4,10,10),"")</f>
        <v>46305</v>
      </c>
      <c r="M5" s="48" t="n">
        <f>IF(11&lt;=DAY(DATE('Billable summary'!$C$4,11,0)),DATE('Billable summary'!$C$4,10,11),"")</f>
        <v>46306</v>
      </c>
      <c r="N5" s="48" t="n">
        <f>IF(12&lt;=DAY(DATE('Billable summary'!$C$4,11,0)),DATE('Billable summary'!$C$4,10,12),"")</f>
        <v>46307</v>
      </c>
      <c r="O5" s="48" t="n">
        <f>IF(13&lt;=DAY(DATE('Billable summary'!$C$4,11,0)),DATE('Billable summary'!$C$4,10,13),"")</f>
        <v>46308</v>
      </c>
      <c r="P5" s="48" t="n">
        <f>IF(14&lt;=DAY(DATE('Billable summary'!$C$4,11,0)),DATE('Billable summary'!$C$4,10,14),"")</f>
        <v>46309</v>
      </c>
      <c r="Q5" s="48" t="n">
        <f>IF(15&lt;=DAY(DATE('Billable summary'!$C$4,11,0)),DATE('Billable summary'!$C$4,10,15),"")</f>
        <v>46310</v>
      </c>
      <c r="R5" s="48" t="n">
        <f>IF(16&lt;=DAY(DATE('Billable summary'!$C$4,11,0)),DATE('Billable summary'!$C$4,10,16),"")</f>
        <v>46311</v>
      </c>
      <c r="S5" s="48" t="n">
        <f>IF(17&lt;=DAY(DATE('Billable summary'!$C$4,11,0)),DATE('Billable summary'!$C$4,10,17),"")</f>
        <v>46312</v>
      </c>
      <c r="T5" s="48" t="n">
        <f>IF(18&lt;=DAY(DATE('Billable summary'!$C$4,11,0)),DATE('Billable summary'!$C$4,10,18),"")</f>
        <v>46313</v>
      </c>
      <c r="U5" s="48" t="n">
        <f>IF(19&lt;=DAY(DATE('Billable summary'!$C$4,11,0)),DATE('Billable summary'!$C$4,10,19),"")</f>
        <v>46314</v>
      </c>
      <c r="V5" s="48" t="n">
        <f>IF(20&lt;=DAY(DATE('Billable summary'!$C$4,11,0)),DATE('Billable summary'!$C$4,10,20),"")</f>
        <v>46315</v>
      </c>
      <c r="W5" s="48" t="n">
        <f>IF(21&lt;=DAY(DATE('Billable summary'!$C$4,11,0)),DATE('Billable summary'!$C$4,10,21),"")</f>
        <v>46316</v>
      </c>
      <c r="X5" s="48" t="n">
        <f>IF(22&lt;=DAY(DATE('Billable summary'!$C$4,11,0)),DATE('Billable summary'!$C$4,10,22),"")</f>
        <v>46317</v>
      </c>
      <c r="Y5" s="48" t="n">
        <f>IF(23&lt;=DAY(DATE('Billable summary'!$C$4,11,0)),DATE('Billable summary'!$C$4,10,23),"")</f>
        <v>46318</v>
      </c>
      <c r="Z5" s="48" t="n">
        <f>IF(24&lt;=DAY(DATE('Billable summary'!$C$4,11,0)),DATE('Billable summary'!$C$4,10,24),"")</f>
        <v>46319</v>
      </c>
      <c r="AA5" s="48" t="n">
        <f>IF(25&lt;=DAY(DATE('Billable summary'!$C$4,11,0)),DATE('Billable summary'!$C$4,10,25),"")</f>
        <v>46320</v>
      </c>
      <c r="AB5" s="48" t="n">
        <f>IF(26&lt;=DAY(DATE('Billable summary'!$C$4,11,0)),DATE('Billable summary'!$C$4,10,26),"")</f>
        <v>46321</v>
      </c>
      <c r="AC5" s="48" t="n">
        <f>IF(27&lt;=DAY(DATE('Billable summary'!$C$4,11,0)),DATE('Billable summary'!$C$4,10,27),"")</f>
        <v>46322</v>
      </c>
      <c r="AD5" s="48" t="n">
        <f>IF(28&lt;=DAY(DATE('Billable summary'!$C$4,11,0)),DATE('Billable summary'!$C$4,10,28),"")</f>
        <v>46323</v>
      </c>
      <c r="AE5" s="48" t="n">
        <f>IF(29&lt;=DAY(DATE('Billable summary'!$C$4,11,0)),DATE('Billable summary'!$C$4,10,29),"")</f>
        <v>46324</v>
      </c>
      <c r="AF5" s="48" t="n">
        <f>IF(30&lt;=DAY(DATE('Billable summary'!$C$4,11,0)),DATE('Billable summary'!$C$4,10,30),"")</f>
        <v>46325</v>
      </c>
      <c r="AG5" s="48" t="n">
        <f>IF(31&lt;=DAY(DATE('Billable summary'!$C$4,11,0)),DATE('Billable summary'!$C$4,10,31),"")</f>
        <v>46326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46296</v>
      </c>
      <c r="D6" s="142" t="n">
        <f>IF(D$5="","",D$5)</f>
        <v>46297</v>
      </c>
      <c r="E6" s="142" t="n">
        <f>IF(E$5="","",E$5)</f>
        <v>46298</v>
      </c>
      <c r="F6" s="142" t="n">
        <f>IF(F$5="","",F$5)</f>
        <v>46299</v>
      </c>
      <c r="G6" s="142" t="n">
        <f>IF(G$5="","",G$5)</f>
        <v>46300</v>
      </c>
      <c r="H6" s="142" t="n">
        <f>IF(H$5="","",H$5)</f>
        <v>46301</v>
      </c>
      <c r="I6" s="142" t="n">
        <f>IF(I$5="","",I$5)</f>
        <v>46302</v>
      </c>
      <c r="J6" s="142" t="n">
        <f>IF(J$5="","",J$5)</f>
        <v>46303</v>
      </c>
      <c r="K6" s="142" t="n">
        <f>IF(K$5="","",K$5)</f>
        <v>46304</v>
      </c>
      <c r="L6" s="142" t="n">
        <f>IF(L$5="","",L$5)</f>
        <v>46305</v>
      </c>
      <c r="M6" s="142" t="n">
        <f>IF(M$5="","",M$5)</f>
        <v>46306</v>
      </c>
      <c r="N6" s="142" t="n">
        <f>IF(N$5="","",N$5)</f>
        <v>46307</v>
      </c>
      <c r="O6" s="142" t="n">
        <f>IF(O$5="","",O$5)</f>
        <v>46308</v>
      </c>
      <c r="P6" s="142" t="n">
        <f>IF(P$5="","",P$5)</f>
        <v>46309</v>
      </c>
      <c r="Q6" s="142" t="n">
        <f>IF(Q$5="","",Q$5)</f>
        <v>46310</v>
      </c>
      <c r="R6" s="142" t="n">
        <f>IF(R$5="","",R$5)</f>
        <v>46311</v>
      </c>
      <c r="S6" s="142" t="n">
        <f>IF(S$5="","",S$5)</f>
        <v>46312</v>
      </c>
      <c r="T6" s="142" t="n">
        <f>IF(T$5="","",T$5)</f>
        <v>46313</v>
      </c>
      <c r="U6" s="142" t="n">
        <f>IF(U$5="","",U$5)</f>
        <v>46314</v>
      </c>
      <c r="V6" s="142" t="n">
        <f>IF(V$5="","",V$5)</f>
        <v>46315</v>
      </c>
      <c r="W6" s="142" t="n">
        <f>IF(W$5="","",W$5)</f>
        <v>46316</v>
      </c>
      <c r="X6" s="142" t="n">
        <f>IF(X$5="","",X$5)</f>
        <v>46317</v>
      </c>
      <c r="Y6" s="142" t="n">
        <f>IF(Y$5="","",Y$5)</f>
        <v>46318</v>
      </c>
      <c r="Z6" s="142" t="n">
        <f>IF(Z$5="","",Z$5)</f>
        <v>46319</v>
      </c>
      <c r="AA6" s="142" t="n">
        <f>IF(AA$5="","",AA$5)</f>
        <v>46320</v>
      </c>
      <c r="AB6" s="142" t="n">
        <f>IF(AB$5="","",AB$5)</f>
        <v>46321</v>
      </c>
      <c r="AC6" s="142" t="n">
        <f>IF(AC$5="","",AC$5)</f>
        <v>46322</v>
      </c>
      <c r="AD6" s="142" t="n">
        <f>IF(AD$5="","",AD$5)</f>
        <v>46323</v>
      </c>
      <c r="AE6" s="142" t="n">
        <f>IF(AE$5="","",AE$5)</f>
        <v>46324</v>
      </c>
      <c r="AF6" s="142" t="n">
        <f>IF(AF$5="","",AF$5)</f>
        <v>46325</v>
      </c>
      <c r="AG6" s="142" t="n">
        <f>IF(AG$5="","",AG$5)</f>
        <v>46326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46296</v>
      </c>
      <c r="D19" s="142" t="n">
        <f>IF(D$5="","",D$5)</f>
        <v>46297</v>
      </c>
      <c r="E19" s="142" t="n">
        <f>IF(E$5="","",E$5)</f>
        <v>46298</v>
      </c>
      <c r="F19" s="142" t="n">
        <f>IF(F$5="","",F$5)</f>
        <v>46299</v>
      </c>
      <c r="G19" s="142" t="n">
        <f>IF(G$5="","",G$5)</f>
        <v>46300</v>
      </c>
      <c r="H19" s="142" t="n">
        <f>IF(H$5="","",H$5)</f>
        <v>46301</v>
      </c>
      <c r="I19" s="142" t="n">
        <f>IF(I$5="","",I$5)</f>
        <v>46302</v>
      </c>
      <c r="J19" s="142" t="n">
        <f>IF(J$5="","",J$5)</f>
        <v>46303</v>
      </c>
      <c r="K19" s="142" t="n">
        <f>IF(K$5="","",K$5)</f>
        <v>46304</v>
      </c>
      <c r="L19" s="142" t="n">
        <f>IF(L$5="","",L$5)</f>
        <v>46305</v>
      </c>
      <c r="M19" s="142" t="n">
        <f>IF(M$5="","",M$5)</f>
        <v>46306</v>
      </c>
      <c r="N19" s="142" t="n">
        <f>IF(N$5="","",N$5)</f>
        <v>46307</v>
      </c>
      <c r="O19" s="142" t="n">
        <f>IF(O$5="","",O$5)</f>
        <v>46308</v>
      </c>
      <c r="P19" s="142" t="n">
        <f>IF(P$5="","",P$5)</f>
        <v>46309</v>
      </c>
      <c r="Q19" s="142" t="n">
        <f>IF(Q$5="","",Q$5)</f>
        <v>46310</v>
      </c>
      <c r="R19" s="142" t="n">
        <f>IF(R$5="","",R$5)</f>
        <v>46311</v>
      </c>
      <c r="S19" s="142" t="n">
        <f>IF(S$5="","",S$5)</f>
        <v>46312</v>
      </c>
      <c r="T19" s="142" t="n">
        <f>IF(T$5="","",T$5)</f>
        <v>46313</v>
      </c>
      <c r="U19" s="142" t="n">
        <f>IF(U$5="","",U$5)</f>
        <v>46314</v>
      </c>
      <c r="V19" s="142" t="n">
        <f>IF(V$5="","",V$5)</f>
        <v>46315</v>
      </c>
      <c r="W19" s="142" t="n">
        <f>IF(W$5="","",W$5)</f>
        <v>46316</v>
      </c>
      <c r="X19" s="142" t="n">
        <f>IF(X$5="","",X$5)</f>
        <v>46317</v>
      </c>
      <c r="Y19" s="142" t="n">
        <f>IF(Y$5="","",Y$5)</f>
        <v>46318</v>
      </c>
      <c r="Z19" s="142" t="n">
        <f>IF(Z$5="","",Z$5)</f>
        <v>46319</v>
      </c>
      <c r="AA19" s="142" t="n">
        <f>IF(AA$5="","",AA$5)</f>
        <v>46320</v>
      </c>
      <c r="AB19" s="142" t="n">
        <f>IF(AB$5="","",AB$5)</f>
        <v>46321</v>
      </c>
      <c r="AC19" s="142" t="n">
        <f>IF(AC$5="","",AC$5)</f>
        <v>46322</v>
      </c>
      <c r="AD19" s="142" t="n">
        <f>IF(AD$5="","",AD$5)</f>
        <v>46323</v>
      </c>
      <c r="AE19" s="142" t="n">
        <f>IF(AE$5="","",AE$5)</f>
        <v>46324</v>
      </c>
      <c r="AF19" s="142" t="n">
        <f>IF(AF$5="","",AF$5)</f>
        <v>46325</v>
      </c>
      <c r="AG19" s="142" t="n">
        <f>IF(AG$5="","",AG$5)</f>
        <v>46326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46296</v>
      </c>
      <c r="D30" s="48" t="n">
        <f>IF(D$5="","",D$5)</f>
        <v>46297</v>
      </c>
      <c r="E30" s="48" t="n">
        <f>IF(E$5="","",E$5)</f>
        <v>46298</v>
      </c>
      <c r="F30" s="48" t="n">
        <f>IF(F$5="","",F$5)</f>
        <v>46299</v>
      </c>
      <c r="G30" s="48" t="n">
        <f>IF(G$5="","",G$5)</f>
        <v>46300</v>
      </c>
      <c r="H30" s="48" t="n">
        <f>IF(H$5="","",H$5)</f>
        <v>46301</v>
      </c>
      <c r="I30" s="48" t="n">
        <f>IF(I$5="","",I$5)</f>
        <v>46302</v>
      </c>
      <c r="J30" s="48" t="n">
        <f>IF(J$5="","",J$5)</f>
        <v>46303</v>
      </c>
      <c r="K30" s="48" t="n">
        <f>IF(K$5="","",K$5)</f>
        <v>46304</v>
      </c>
      <c r="L30" s="48" t="n">
        <f>IF(L$5="","",L$5)</f>
        <v>46305</v>
      </c>
      <c r="M30" s="48" t="n">
        <f>IF(M$5="","",M$5)</f>
        <v>46306</v>
      </c>
      <c r="N30" s="48" t="n">
        <f>IF(N$5="","",N$5)</f>
        <v>46307</v>
      </c>
      <c r="O30" s="48" t="n">
        <f>IF(O$5="","",O$5)</f>
        <v>46308</v>
      </c>
      <c r="P30" s="48" t="n">
        <f>IF(P$5="","",P$5)</f>
        <v>46309</v>
      </c>
      <c r="Q30" s="48" t="n">
        <f>IF(Q$5="","",Q$5)</f>
        <v>46310</v>
      </c>
      <c r="R30" s="48" t="n">
        <f>IF(R$5="","",R$5)</f>
        <v>46311</v>
      </c>
      <c r="S30" s="48" t="n">
        <f>IF(S$5="","",S$5)</f>
        <v>46312</v>
      </c>
      <c r="T30" s="48" t="n">
        <f>IF(T$5="","",T$5)</f>
        <v>46313</v>
      </c>
      <c r="U30" s="48" t="n">
        <f>IF(U$5="","",U$5)</f>
        <v>46314</v>
      </c>
      <c r="V30" s="48" t="n">
        <f>IF(V$5="","",V$5)</f>
        <v>46315</v>
      </c>
      <c r="W30" s="48" t="n">
        <f>IF(W$5="","",W$5)</f>
        <v>46316</v>
      </c>
      <c r="X30" s="48" t="n">
        <f>IF(X$5="","",X$5)</f>
        <v>46317</v>
      </c>
      <c r="Y30" s="48" t="n">
        <f>IF(Y$5="","",Y$5)</f>
        <v>46318</v>
      </c>
      <c r="Z30" s="48" t="n">
        <f>IF(Z$5="","",Z$5)</f>
        <v>46319</v>
      </c>
      <c r="AA30" s="48" t="n">
        <f>IF(AA$5="","",AA$5)</f>
        <v>46320</v>
      </c>
      <c r="AB30" s="48" t="n">
        <f>IF(AB$5="","",AB$5)</f>
        <v>46321</v>
      </c>
      <c r="AC30" s="48" t="n">
        <f>IF(AC$5="","",AC$5)</f>
        <v>46322</v>
      </c>
      <c r="AD30" s="48" t="n">
        <f>IF(AD$5="","",AD$5)</f>
        <v>46323</v>
      </c>
      <c r="AE30" s="48" t="n">
        <f>IF(AE$5="","",AE$5)</f>
        <v>46324</v>
      </c>
      <c r="AF30" s="48" t="n">
        <f>IF(AF$5="","",AF$5)</f>
        <v>46325</v>
      </c>
      <c r="AG30" s="48" t="n">
        <f>IF(AG$5="","",AG$5)</f>
        <v>46326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46296</v>
      </c>
      <c r="D31" s="142" t="n">
        <f>IF(D$5="","",D$5)</f>
        <v>46297</v>
      </c>
      <c r="E31" s="142" t="n">
        <f>IF(E$5="","",E$5)</f>
        <v>46298</v>
      </c>
      <c r="F31" s="142" t="n">
        <f>IF(F$5="","",F$5)</f>
        <v>46299</v>
      </c>
      <c r="G31" s="142" t="n">
        <f>IF(G$5="","",G$5)</f>
        <v>46300</v>
      </c>
      <c r="H31" s="142" t="n">
        <f>IF(H$5="","",H$5)</f>
        <v>46301</v>
      </c>
      <c r="I31" s="142" t="n">
        <f>IF(I$5="","",I$5)</f>
        <v>46302</v>
      </c>
      <c r="J31" s="142" t="n">
        <f>IF(J$5="","",J$5)</f>
        <v>46303</v>
      </c>
      <c r="K31" s="142" t="n">
        <f>IF(K$5="","",K$5)</f>
        <v>46304</v>
      </c>
      <c r="L31" s="142" t="n">
        <f>IF(L$5="","",L$5)</f>
        <v>46305</v>
      </c>
      <c r="M31" s="142" t="n">
        <f>IF(M$5="","",M$5)</f>
        <v>46306</v>
      </c>
      <c r="N31" s="142" t="n">
        <f>IF(N$5="","",N$5)</f>
        <v>46307</v>
      </c>
      <c r="O31" s="142" t="n">
        <f>IF(O$5="","",O$5)</f>
        <v>46308</v>
      </c>
      <c r="P31" s="142" t="n">
        <f>IF(P$5="","",P$5)</f>
        <v>46309</v>
      </c>
      <c r="Q31" s="142" t="n">
        <f>IF(Q$5="","",Q$5)</f>
        <v>46310</v>
      </c>
      <c r="R31" s="142" t="n">
        <f>IF(R$5="","",R$5)</f>
        <v>46311</v>
      </c>
      <c r="S31" s="142" t="n">
        <f>IF(S$5="","",S$5)</f>
        <v>46312</v>
      </c>
      <c r="T31" s="142" t="n">
        <f>IF(T$5="","",T$5)</f>
        <v>46313</v>
      </c>
      <c r="U31" s="142" t="n">
        <f>IF(U$5="","",U$5)</f>
        <v>46314</v>
      </c>
      <c r="V31" s="142" t="n">
        <f>IF(V$5="","",V$5)</f>
        <v>46315</v>
      </c>
      <c r="W31" s="142" t="n">
        <f>IF(W$5="","",W$5)</f>
        <v>46316</v>
      </c>
      <c r="X31" s="142" t="n">
        <f>IF(X$5="","",X$5)</f>
        <v>46317</v>
      </c>
      <c r="Y31" s="142" t="n">
        <f>IF(Y$5="","",Y$5)</f>
        <v>46318</v>
      </c>
      <c r="Z31" s="142" t="n">
        <f>IF(Z$5="","",Z$5)</f>
        <v>46319</v>
      </c>
      <c r="AA31" s="142" t="n">
        <f>IF(AA$5="","",AA$5)</f>
        <v>46320</v>
      </c>
      <c r="AB31" s="142" t="n">
        <f>IF(AB$5="","",AB$5)</f>
        <v>46321</v>
      </c>
      <c r="AC31" s="142" t="n">
        <f>IF(AC$5="","",AC$5)</f>
        <v>46322</v>
      </c>
      <c r="AD31" s="142" t="n">
        <f>IF(AD$5="","",AD$5)</f>
        <v>46323</v>
      </c>
      <c r="AE31" s="142" t="n">
        <f>IF(AE$5="","",AE$5)</f>
        <v>46324</v>
      </c>
      <c r="AF31" s="142" t="n">
        <f>IF(AF$5="","",AF$5)</f>
        <v>46325</v>
      </c>
      <c r="AG31" s="142" t="n">
        <f>IF(AG$5="","",AG$5)</f>
        <v>46326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summary'!$C$4,10,1),DATE('Billable summary'!$C$4,11,0))</f>
        <v>22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176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132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132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60" priority="1">
      <formula>OR(C$5="",WEEKDAY(C$5,2)&gt;5)</formula>
    </cfRule>
    <cfRule type="expression" dxfId="161" priority="2">
      <formula>AND(C$5="",NOT(ISBLANK(C7)))</formula>
    </cfRule>
  </conditionalFormatting>
  <conditionalFormatting sqref="C20:AG25">
    <cfRule type="expression" dxfId="162" priority="3">
      <formula>OR(C$5="",WEEKDAY(C$5,2)&gt;5)</formula>
    </cfRule>
    <cfRule type="expression" dxfId="163" priority="4">
      <formula>AND(C$5="",NOT(ISBLANK(C20)))</formula>
    </cfRule>
  </conditionalFormatting>
  <conditionalFormatting sqref="C32:AG35">
    <cfRule type="expression" dxfId="164" priority="5">
      <formula>OR(C$5="",WEEKDAY(C$5,2)&gt;5)</formula>
    </cfRule>
    <cfRule type="expression" dxfId="165" priority="6">
      <formula>AND(C$5="",NOT(ISBLANK(C32)))</formula>
    </cfRule>
  </conditionalFormatting>
  <conditionalFormatting sqref="I43:K43">
    <cfRule type="expression" dxfId="166" priority="7">
      <formula>AND(ISNUMBER($I$43),$I$43&gt;=$I$44)</formula>
    </cfRule>
    <cfRule type="expression" dxfId="167" priority="8">
      <formula>AND(ISNUMBER($I$43),$I$43&lt;$I$44)</formula>
    </cfRule>
  </conditionalFormatting>
  <conditionalFormatting sqref="B51:AH51">
    <cfRule type="containsText" dxfId="168" priority="9" operator="containsText" text="Check"/>
    <cfRule type="containsText" dxfId="169" priority="10" operator="containsText" text="Invalid"/>
    <cfRule type="containsText" dxfId="170" priority="11" operator="containsText" text="Negative"/>
    <cfRule type="containsText" dxfId="171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summary'!$C$4,11,1),"mmmm yyyy")</f>
        <v>November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summary'!$C$4,12,0)),DATE('Billable summary'!$C$4,11,1),"")</f>
        <v>46327</v>
      </c>
      <c r="D5" s="48" t="n">
        <f>IF(2&lt;=DAY(DATE('Billable summary'!$C$4,12,0)),DATE('Billable summary'!$C$4,11,2),"")</f>
        <v>46328</v>
      </c>
      <c r="E5" s="48" t="n">
        <f>IF(3&lt;=DAY(DATE('Billable summary'!$C$4,12,0)),DATE('Billable summary'!$C$4,11,3),"")</f>
        <v>46329</v>
      </c>
      <c r="F5" s="48" t="n">
        <f>IF(4&lt;=DAY(DATE('Billable summary'!$C$4,12,0)),DATE('Billable summary'!$C$4,11,4),"")</f>
        <v>46330</v>
      </c>
      <c r="G5" s="48" t="n">
        <f>IF(5&lt;=DAY(DATE('Billable summary'!$C$4,12,0)),DATE('Billable summary'!$C$4,11,5),"")</f>
        <v>46331</v>
      </c>
      <c r="H5" s="48" t="n">
        <f>IF(6&lt;=DAY(DATE('Billable summary'!$C$4,12,0)),DATE('Billable summary'!$C$4,11,6),"")</f>
        <v>46332</v>
      </c>
      <c r="I5" s="48" t="n">
        <f>IF(7&lt;=DAY(DATE('Billable summary'!$C$4,12,0)),DATE('Billable summary'!$C$4,11,7),"")</f>
        <v>46333</v>
      </c>
      <c r="J5" s="48" t="n">
        <f>IF(8&lt;=DAY(DATE('Billable summary'!$C$4,12,0)),DATE('Billable summary'!$C$4,11,8),"")</f>
        <v>46334</v>
      </c>
      <c r="K5" s="48" t="n">
        <f>IF(9&lt;=DAY(DATE('Billable summary'!$C$4,12,0)),DATE('Billable summary'!$C$4,11,9),"")</f>
        <v>46335</v>
      </c>
      <c r="L5" s="48" t="n">
        <f>IF(10&lt;=DAY(DATE('Billable summary'!$C$4,12,0)),DATE('Billable summary'!$C$4,11,10),"")</f>
        <v>46336</v>
      </c>
      <c r="M5" s="48" t="n">
        <f>IF(11&lt;=DAY(DATE('Billable summary'!$C$4,12,0)),DATE('Billable summary'!$C$4,11,11),"")</f>
        <v>46337</v>
      </c>
      <c r="N5" s="48" t="n">
        <f>IF(12&lt;=DAY(DATE('Billable summary'!$C$4,12,0)),DATE('Billable summary'!$C$4,11,12),"")</f>
        <v>46338</v>
      </c>
      <c r="O5" s="48" t="n">
        <f>IF(13&lt;=DAY(DATE('Billable summary'!$C$4,12,0)),DATE('Billable summary'!$C$4,11,13),"")</f>
        <v>46339</v>
      </c>
      <c r="P5" s="48" t="n">
        <f>IF(14&lt;=DAY(DATE('Billable summary'!$C$4,12,0)),DATE('Billable summary'!$C$4,11,14),"")</f>
        <v>46340</v>
      </c>
      <c r="Q5" s="48" t="n">
        <f>IF(15&lt;=DAY(DATE('Billable summary'!$C$4,12,0)),DATE('Billable summary'!$C$4,11,15),"")</f>
        <v>46341</v>
      </c>
      <c r="R5" s="48" t="n">
        <f>IF(16&lt;=DAY(DATE('Billable summary'!$C$4,12,0)),DATE('Billable summary'!$C$4,11,16),"")</f>
        <v>46342</v>
      </c>
      <c r="S5" s="48" t="n">
        <f>IF(17&lt;=DAY(DATE('Billable summary'!$C$4,12,0)),DATE('Billable summary'!$C$4,11,17),"")</f>
        <v>46343</v>
      </c>
      <c r="T5" s="48" t="n">
        <f>IF(18&lt;=DAY(DATE('Billable summary'!$C$4,12,0)),DATE('Billable summary'!$C$4,11,18),"")</f>
        <v>46344</v>
      </c>
      <c r="U5" s="48" t="n">
        <f>IF(19&lt;=DAY(DATE('Billable summary'!$C$4,12,0)),DATE('Billable summary'!$C$4,11,19),"")</f>
        <v>46345</v>
      </c>
      <c r="V5" s="48" t="n">
        <f>IF(20&lt;=DAY(DATE('Billable summary'!$C$4,12,0)),DATE('Billable summary'!$C$4,11,20),"")</f>
        <v>46346</v>
      </c>
      <c r="W5" s="48" t="n">
        <f>IF(21&lt;=DAY(DATE('Billable summary'!$C$4,12,0)),DATE('Billable summary'!$C$4,11,21),"")</f>
        <v>46347</v>
      </c>
      <c r="X5" s="48" t="n">
        <f>IF(22&lt;=DAY(DATE('Billable summary'!$C$4,12,0)),DATE('Billable summary'!$C$4,11,22),"")</f>
        <v>46348</v>
      </c>
      <c r="Y5" s="48" t="n">
        <f>IF(23&lt;=DAY(DATE('Billable summary'!$C$4,12,0)),DATE('Billable summary'!$C$4,11,23),"")</f>
        <v>46349</v>
      </c>
      <c r="Z5" s="48" t="n">
        <f>IF(24&lt;=DAY(DATE('Billable summary'!$C$4,12,0)),DATE('Billable summary'!$C$4,11,24),"")</f>
        <v>46350</v>
      </c>
      <c r="AA5" s="48" t="n">
        <f>IF(25&lt;=DAY(DATE('Billable summary'!$C$4,12,0)),DATE('Billable summary'!$C$4,11,25),"")</f>
        <v>46351</v>
      </c>
      <c r="AB5" s="48" t="n">
        <f>IF(26&lt;=DAY(DATE('Billable summary'!$C$4,12,0)),DATE('Billable summary'!$C$4,11,26),"")</f>
        <v>46352</v>
      </c>
      <c r="AC5" s="48" t="n">
        <f>IF(27&lt;=DAY(DATE('Billable summary'!$C$4,12,0)),DATE('Billable summary'!$C$4,11,27),"")</f>
        <v>46353</v>
      </c>
      <c r="AD5" s="48" t="n">
        <f>IF(28&lt;=DAY(DATE('Billable summary'!$C$4,12,0)),DATE('Billable summary'!$C$4,11,28),"")</f>
        <v>46354</v>
      </c>
      <c r="AE5" s="48" t="n">
        <f>IF(29&lt;=DAY(DATE('Billable summary'!$C$4,12,0)),DATE('Billable summary'!$C$4,11,29),"")</f>
        <v>46355</v>
      </c>
      <c r="AF5" s="48" t="n">
        <f>IF(30&lt;=DAY(DATE('Billable summary'!$C$4,12,0)),DATE('Billable summary'!$C$4,11,30),"")</f>
        <v>46356</v>
      </c>
      <c r="AG5" s="48" t="str">
        <f>IF(31&lt;=DAY(DATE('Billable summary'!$C$4,12,0)),DATE('Billable summary'!$C$4,11,31),"")</f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46327</v>
      </c>
      <c r="D6" s="142" t="n">
        <f>IF(D$5="","",D$5)</f>
        <v>46328</v>
      </c>
      <c r="E6" s="142" t="n">
        <f>IF(E$5="","",E$5)</f>
        <v>46329</v>
      </c>
      <c r="F6" s="142" t="n">
        <f>IF(F$5="","",F$5)</f>
        <v>46330</v>
      </c>
      <c r="G6" s="142" t="n">
        <f>IF(G$5="","",G$5)</f>
        <v>46331</v>
      </c>
      <c r="H6" s="142" t="n">
        <f>IF(H$5="","",H$5)</f>
        <v>46332</v>
      </c>
      <c r="I6" s="142" t="n">
        <f>IF(I$5="","",I$5)</f>
        <v>46333</v>
      </c>
      <c r="J6" s="142" t="n">
        <f>IF(J$5="","",J$5)</f>
        <v>46334</v>
      </c>
      <c r="K6" s="142" t="n">
        <f>IF(K$5="","",K$5)</f>
        <v>46335</v>
      </c>
      <c r="L6" s="142" t="n">
        <f>IF(L$5="","",L$5)</f>
        <v>46336</v>
      </c>
      <c r="M6" s="142" t="n">
        <f>IF(M$5="","",M$5)</f>
        <v>46337</v>
      </c>
      <c r="N6" s="142" t="n">
        <f>IF(N$5="","",N$5)</f>
        <v>46338</v>
      </c>
      <c r="O6" s="142" t="n">
        <f>IF(O$5="","",O$5)</f>
        <v>46339</v>
      </c>
      <c r="P6" s="142" t="n">
        <f>IF(P$5="","",P$5)</f>
        <v>46340</v>
      </c>
      <c r="Q6" s="142" t="n">
        <f>IF(Q$5="","",Q$5)</f>
        <v>46341</v>
      </c>
      <c r="R6" s="142" t="n">
        <f>IF(R$5="","",R$5)</f>
        <v>46342</v>
      </c>
      <c r="S6" s="142" t="n">
        <f>IF(S$5="","",S$5)</f>
        <v>46343</v>
      </c>
      <c r="T6" s="142" t="n">
        <f>IF(T$5="","",T$5)</f>
        <v>46344</v>
      </c>
      <c r="U6" s="142" t="n">
        <f>IF(U$5="","",U$5)</f>
        <v>46345</v>
      </c>
      <c r="V6" s="142" t="n">
        <f>IF(V$5="","",V$5)</f>
        <v>46346</v>
      </c>
      <c r="W6" s="142" t="n">
        <f>IF(W$5="","",W$5)</f>
        <v>46347</v>
      </c>
      <c r="X6" s="142" t="n">
        <f>IF(X$5="","",X$5)</f>
        <v>46348</v>
      </c>
      <c r="Y6" s="142" t="n">
        <f>IF(Y$5="","",Y$5)</f>
        <v>46349</v>
      </c>
      <c r="Z6" s="142" t="n">
        <f>IF(Z$5="","",Z$5)</f>
        <v>46350</v>
      </c>
      <c r="AA6" s="142" t="n">
        <f>IF(AA$5="","",AA$5)</f>
        <v>46351</v>
      </c>
      <c r="AB6" s="142" t="n">
        <f>IF(AB$5="","",AB$5)</f>
        <v>46352</v>
      </c>
      <c r="AC6" s="142" t="n">
        <f>IF(AC$5="","",AC$5)</f>
        <v>46353</v>
      </c>
      <c r="AD6" s="142" t="n">
        <f>IF(AD$5="","",AD$5)</f>
        <v>46354</v>
      </c>
      <c r="AE6" s="142" t="n">
        <f>IF(AE$5="","",AE$5)</f>
        <v>46355</v>
      </c>
      <c r="AF6" s="142" t="n">
        <f>IF(AF$5="","",AF$5)</f>
        <v>46356</v>
      </c>
      <c r="AG6" s="142" t="str">
        <f>IF(AG$5="","",AG$5)</f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str">
        <f>IF(AG$5="","",SUM(AG7:AG16))</f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46327</v>
      </c>
      <c r="D19" s="142" t="n">
        <f>IF(D$5="","",D$5)</f>
        <v>46328</v>
      </c>
      <c r="E19" s="142" t="n">
        <f>IF(E$5="","",E$5)</f>
        <v>46329</v>
      </c>
      <c r="F19" s="142" t="n">
        <f>IF(F$5="","",F$5)</f>
        <v>46330</v>
      </c>
      <c r="G19" s="142" t="n">
        <f>IF(G$5="","",G$5)</f>
        <v>46331</v>
      </c>
      <c r="H19" s="142" t="n">
        <f>IF(H$5="","",H$5)</f>
        <v>46332</v>
      </c>
      <c r="I19" s="142" t="n">
        <f>IF(I$5="","",I$5)</f>
        <v>46333</v>
      </c>
      <c r="J19" s="142" t="n">
        <f>IF(J$5="","",J$5)</f>
        <v>46334</v>
      </c>
      <c r="K19" s="142" t="n">
        <f>IF(K$5="","",K$5)</f>
        <v>46335</v>
      </c>
      <c r="L19" s="142" t="n">
        <f>IF(L$5="","",L$5)</f>
        <v>46336</v>
      </c>
      <c r="M19" s="142" t="n">
        <f>IF(M$5="","",M$5)</f>
        <v>46337</v>
      </c>
      <c r="N19" s="142" t="n">
        <f>IF(N$5="","",N$5)</f>
        <v>46338</v>
      </c>
      <c r="O19" s="142" t="n">
        <f>IF(O$5="","",O$5)</f>
        <v>46339</v>
      </c>
      <c r="P19" s="142" t="n">
        <f>IF(P$5="","",P$5)</f>
        <v>46340</v>
      </c>
      <c r="Q19" s="142" t="n">
        <f>IF(Q$5="","",Q$5)</f>
        <v>46341</v>
      </c>
      <c r="R19" s="142" t="n">
        <f>IF(R$5="","",R$5)</f>
        <v>46342</v>
      </c>
      <c r="S19" s="142" t="n">
        <f>IF(S$5="","",S$5)</f>
        <v>46343</v>
      </c>
      <c r="T19" s="142" t="n">
        <f>IF(T$5="","",T$5)</f>
        <v>46344</v>
      </c>
      <c r="U19" s="142" t="n">
        <f>IF(U$5="","",U$5)</f>
        <v>46345</v>
      </c>
      <c r="V19" s="142" t="n">
        <f>IF(V$5="","",V$5)</f>
        <v>46346</v>
      </c>
      <c r="W19" s="142" t="n">
        <f>IF(W$5="","",W$5)</f>
        <v>46347</v>
      </c>
      <c r="X19" s="142" t="n">
        <f>IF(X$5="","",X$5)</f>
        <v>46348</v>
      </c>
      <c r="Y19" s="142" t="n">
        <f>IF(Y$5="","",Y$5)</f>
        <v>46349</v>
      </c>
      <c r="Z19" s="142" t="n">
        <f>IF(Z$5="","",Z$5)</f>
        <v>46350</v>
      </c>
      <c r="AA19" s="142" t="n">
        <f>IF(AA$5="","",AA$5)</f>
        <v>46351</v>
      </c>
      <c r="AB19" s="142" t="n">
        <f>IF(AB$5="","",AB$5)</f>
        <v>46352</v>
      </c>
      <c r="AC19" s="142" t="n">
        <f>IF(AC$5="","",AC$5)</f>
        <v>46353</v>
      </c>
      <c r="AD19" s="142" t="n">
        <f>IF(AD$5="","",AD$5)</f>
        <v>46354</v>
      </c>
      <c r="AE19" s="142" t="n">
        <f>IF(AE$5="","",AE$5)</f>
        <v>46355</v>
      </c>
      <c r="AF19" s="142" t="n">
        <f>IF(AF$5="","",AF$5)</f>
        <v>46356</v>
      </c>
      <c r="AG19" s="142" t="str">
        <f>IF(AG$5="","",AG$5)</f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str">
        <f>IF(AG$5="","",SUM(AG20:AG25))</f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str">
        <f>IF(AG$5="","",SUM(AG17,AG26))</f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46327</v>
      </c>
      <c r="D30" s="48" t="n">
        <f>IF(D$5="","",D$5)</f>
        <v>46328</v>
      </c>
      <c r="E30" s="48" t="n">
        <f>IF(E$5="","",E$5)</f>
        <v>46329</v>
      </c>
      <c r="F30" s="48" t="n">
        <f>IF(F$5="","",F$5)</f>
        <v>46330</v>
      </c>
      <c r="G30" s="48" t="n">
        <f>IF(G$5="","",G$5)</f>
        <v>46331</v>
      </c>
      <c r="H30" s="48" t="n">
        <f>IF(H$5="","",H$5)</f>
        <v>46332</v>
      </c>
      <c r="I30" s="48" t="n">
        <f>IF(I$5="","",I$5)</f>
        <v>46333</v>
      </c>
      <c r="J30" s="48" t="n">
        <f>IF(J$5="","",J$5)</f>
        <v>46334</v>
      </c>
      <c r="K30" s="48" t="n">
        <f>IF(K$5="","",K$5)</f>
        <v>46335</v>
      </c>
      <c r="L30" s="48" t="n">
        <f>IF(L$5="","",L$5)</f>
        <v>46336</v>
      </c>
      <c r="M30" s="48" t="n">
        <f>IF(M$5="","",M$5)</f>
        <v>46337</v>
      </c>
      <c r="N30" s="48" t="n">
        <f>IF(N$5="","",N$5)</f>
        <v>46338</v>
      </c>
      <c r="O30" s="48" t="n">
        <f>IF(O$5="","",O$5)</f>
        <v>46339</v>
      </c>
      <c r="P30" s="48" t="n">
        <f>IF(P$5="","",P$5)</f>
        <v>46340</v>
      </c>
      <c r="Q30" s="48" t="n">
        <f>IF(Q$5="","",Q$5)</f>
        <v>46341</v>
      </c>
      <c r="R30" s="48" t="n">
        <f>IF(R$5="","",R$5)</f>
        <v>46342</v>
      </c>
      <c r="S30" s="48" t="n">
        <f>IF(S$5="","",S$5)</f>
        <v>46343</v>
      </c>
      <c r="T30" s="48" t="n">
        <f>IF(T$5="","",T$5)</f>
        <v>46344</v>
      </c>
      <c r="U30" s="48" t="n">
        <f>IF(U$5="","",U$5)</f>
        <v>46345</v>
      </c>
      <c r="V30" s="48" t="n">
        <f>IF(V$5="","",V$5)</f>
        <v>46346</v>
      </c>
      <c r="W30" s="48" t="n">
        <f>IF(W$5="","",W$5)</f>
        <v>46347</v>
      </c>
      <c r="X30" s="48" t="n">
        <f>IF(X$5="","",X$5)</f>
        <v>46348</v>
      </c>
      <c r="Y30" s="48" t="n">
        <f>IF(Y$5="","",Y$5)</f>
        <v>46349</v>
      </c>
      <c r="Z30" s="48" t="n">
        <f>IF(Z$5="","",Z$5)</f>
        <v>46350</v>
      </c>
      <c r="AA30" s="48" t="n">
        <f>IF(AA$5="","",AA$5)</f>
        <v>46351</v>
      </c>
      <c r="AB30" s="48" t="n">
        <f>IF(AB$5="","",AB$5)</f>
        <v>46352</v>
      </c>
      <c r="AC30" s="48" t="n">
        <f>IF(AC$5="","",AC$5)</f>
        <v>46353</v>
      </c>
      <c r="AD30" s="48" t="n">
        <f>IF(AD$5="","",AD$5)</f>
        <v>46354</v>
      </c>
      <c r="AE30" s="48" t="n">
        <f>IF(AE$5="","",AE$5)</f>
        <v>46355</v>
      </c>
      <c r="AF30" s="48" t="n">
        <f>IF(AF$5="","",AF$5)</f>
        <v>46356</v>
      </c>
      <c r="AG30" s="48" t="str">
        <f>IF(AG$5="","",AG$5)</f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46327</v>
      </c>
      <c r="D31" s="142" t="n">
        <f>IF(D$5="","",D$5)</f>
        <v>46328</v>
      </c>
      <c r="E31" s="142" t="n">
        <f>IF(E$5="","",E$5)</f>
        <v>46329</v>
      </c>
      <c r="F31" s="142" t="n">
        <f>IF(F$5="","",F$5)</f>
        <v>46330</v>
      </c>
      <c r="G31" s="142" t="n">
        <f>IF(G$5="","",G$5)</f>
        <v>46331</v>
      </c>
      <c r="H31" s="142" t="n">
        <f>IF(H$5="","",H$5)</f>
        <v>46332</v>
      </c>
      <c r="I31" s="142" t="n">
        <f>IF(I$5="","",I$5)</f>
        <v>46333</v>
      </c>
      <c r="J31" s="142" t="n">
        <f>IF(J$5="","",J$5)</f>
        <v>46334</v>
      </c>
      <c r="K31" s="142" t="n">
        <f>IF(K$5="","",K$5)</f>
        <v>46335</v>
      </c>
      <c r="L31" s="142" t="n">
        <f>IF(L$5="","",L$5)</f>
        <v>46336</v>
      </c>
      <c r="M31" s="142" t="n">
        <f>IF(M$5="","",M$5)</f>
        <v>46337</v>
      </c>
      <c r="N31" s="142" t="n">
        <f>IF(N$5="","",N$5)</f>
        <v>46338</v>
      </c>
      <c r="O31" s="142" t="n">
        <f>IF(O$5="","",O$5)</f>
        <v>46339</v>
      </c>
      <c r="P31" s="142" t="n">
        <f>IF(P$5="","",P$5)</f>
        <v>46340</v>
      </c>
      <c r="Q31" s="142" t="n">
        <f>IF(Q$5="","",Q$5)</f>
        <v>46341</v>
      </c>
      <c r="R31" s="142" t="n">
        <f>IF(R$5="","",R$5)</f>
        <v>46342</v>
      </c>
      <c r="S31" s="142" t="n">
        <f>IF(S$5="","",S$5)</f>
        <v>46343</v>
      </c>
      <c r="T31" s="142" t="n">
        <f>IF(T$5="","",T$5)</f>
        <v>46344</v>
      </c>
      <c r="U31" s="142" t="n">
        <f>IF(U$5="","",U$5)</f>
        <v>46345</v>
      </c>
      <c r="V31" s="142" t="n">
        <f>IF(V$5="","",V$5)</f>
        <v>46346</v>
      </c>
      <c r="W31" s="142" t="n">
        <f>IF(W$5="","",W$5)</f>
        <v>46347</v>
      </c>
      <c r="X31" s="142" t="n">
        <f>IF(X$5="","",X$5)</f>
        <v>46348</v>
      </c>
      <c r="Y31" s="142" t="n">
        <f>IF(Y$5="","",Y$5)</f>
        <v>46349</v>
      </c>
      <c r="Z31" s="142" t="n">
        <f>IF(Z$5="","",Z$5)</f>
        <v>46350</v>
      </c>
      <c r="AA31" s="142" t="n">
        <f>IF(AA$5="","",AA$5)</f>
        <v>46351</v>
      </c>
      <c r="AB31" s="142" t="n">
        <f>IF(AB$5="","",AB$5)</f>
        <v>46352</v>
      </c>
      <c r="AC31" s="142" t="n">
        <f>IF(AC$5="","",AC$5)</f>
        <v>46353</v>
      </c>
      <c r="AD31" s="142" t="n">
        <f>IF(AD$5="","",AD$5)</f>
        <v>46354</v>
      </c>
      <c r="AE31" s="142" t="n">
        <f>IF(AE$5="","",AE$5)</f>
        <v>46355</v>
      </c>
      <c r="AF31" s="142" t="n">
        <f>IF(AF$5="","",AF$5)</f>
        <v>46356</v>
      </c>
      <c r="AG31" s="142" t="str">
        <f>IF(AG$5="","",AG$5)</f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str">
        <f>IF(AG$5="","",SUM(AG32:AG35))</f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summary'!$C$4,11,1),DATE('Billable summary'!$C$4,12,0))</f>
        <v>21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168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126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126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72" priority="1">
      <formula>OR(C$5="",WEEKDAY(C$5,2)&gt;5)</formula>
    </cfRule>
    <cfRule type="expression" dxfId="173" priority="2">
      <formula>AND(C$5="",NOT(ISBLANK(C7)))</formula>
    </cfRule>
  </conditionalFormatting>
  <conditionalFormatting sqref="C20:AG25">
    <cfRule type="expression" dxfId="174" priority="3">
      <formula>OR(C$5="",WEEKDAY(C$5,2)&gt;5)</formula>
    </cfRule>
    <cfRule type="expression" dxfId="175" priority="4">
      <formula>AND(C$5="",NOT(ISBLANK(C20)))</formula>
    </cfRule>
  </conditionalFormatting>
  <conditionalFormatting sqref="C32:AG35">
    <cfRule type="expression" dxfId="176" priority="5">
      <formula>OR(C$5="",WEEKDAY(C$5,2)&gt;5)</formula>
    </cfRule>
    <cfRule type="expression" dxfId="177" priority="6">
      <formula>AND(C$5="",NOT(ISBLANK(C32)))</formula>
    </cfRule>
  </conditionalFormatting>
  <conditionalFormatting sqref="I43:K43">
    <cfRule type="expression" dxfId="178" priority="7">
      <formula>AND(ISNUMBER($I$43),$I$43&gt;=$I$44)</formula>
    </cfRule>
    <cfRule type="expression" dxfId="179" priority="8">
      <formula>AND(ISNUMBER($I$43),$I$43&lt;$I$44)</formula>
    </cfRule>
  </conditionalFormatting>
  <conditionalFormatting sqref="B51:AH51">
    <cfRule type="containsText" dxfId="180" priority="9" operator="containsText" text="Check"/>
    <cfRule type="containsText" dxfId="181" priority="10" operator="containsText" text="Invalid"/>
    <cfRule type="containsText" dxfId="182" priority="11" operator="containsText" text="Negative"/>
    <cfRule type="containsText" dxfId="183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tabColor rgb="FF92BDAE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3" hidden="0" customWidth="1"/>
    <col min="2" max="2" width="40" hidden="0" customWidth="1"/>
    <col min="3" max="3" width="5.300000190734863" hidden="0" customWidth="1"/>
    <col min="4" max="4" width="5.300000190734863" hidden="0" customWidth="1"/>
    <col min="5" max="5" width="5.300000190734863" hidden="0" customWidth="1"/>
    <col min="6" max="6" width="5.300000190734863" hidden="0" customWidth="1"/>
    <col min="7" max="7" width="5.300000190734863" hidden="0" customWidth="1"/>
    <col min="8" max="8" width="5.300000190734863" hidden="0" customWidth="1"/>
    <col min="9" max="9" width="5.300000190734863" hidden="0" customWidth="1"/>
    <col min="10" max="10" width="5.300000190734863" hidden="0" customWidth="1"/>
    <col min="11" max="11" width="5.300000190734863" hidden="0" customWidth="1"/>
    <col min="12" max="12" width="5.300000190734863" hidden="0" customWidth="1"/>
    <col min="13" max="13" width="5.300000190734863" hidden="0" customWidth="1"/>
    <col min="14" max="14" width="5.300000190734863" hidden="0" customWidth="1"/>
    <col min="15" max="15" width="5.300000190734863" hidden="0" customWidth="1"/>
    <col min="16" max="16" width="5.300000190734863" hidden="0" customWidth="1"/>
    <col min="17" max="17" width="5.300000190734863" hidden="0" customWidth="1"/>
    <col min="18" max="18" width="5.300000190734863" hidden="0" customWidth="1"/>
    <col min="19" max="19" width="5.300000190734863" hidden="0" customWidth="1"/>
    <col min="20" max="20" width="5.300000190734863" hidden="0" customWidth="1"/>
    <col min="21" max="21" width="5.300000190734863" hidden="0" customWidth="1"/>
    <col min="22" max="22" width="5.300000190734863" hidden="0" customWidth="1"/>
    <col min="23" max="23" width="5.300000190734863" hidden="0" customWidth="1"/>
    <col min="24" max="24" width="5.300000190734863" hidden="0" customWidth="1"/>
    <col min="25" max="25" width="5.300000190734863" hidden="0" customWidth="1"/>
    <col min="26" max="26" width="5.300000190734863" hidden="0" customWidth="1"/>
    <col min="27" max="27" width="5.300000190734863" hidden="0" customWidth="1"/>
    <col min="28" max="28" width="5.300000190734863" hidden="0" customWidth="1"/>
    <col min="29" max="29" width="5.300000190734863" hidden="0" customWidth="1"/>
    <col min="30" max="30" width="5.300000190734863" hidden="0" customWidth="1"/>
    <col min="31" max="31" width="5.300000190734863" hidden="0" customWidth="1"/>
    <col min="32" max="32" width="5.300000190734863" hidden="0" customWidth="1"/>
    <col min="33" max="33" width="5.300000190734863" hidden="0" customWidth="1"/>
    <col min="34" max="34" width="11" hidden="0" customWidth="1"/>
    <col min="35" max="35" width="3" hidden="0" customWidth="1"/>
  </cols>
  <sheetData>
    <row r="1" ht="2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5"/>
    </row>
    <row r="2" ht="23" customHeight="1">
      <c r="A2" s="3"/>
      <c r="B2" s="3" t="str">
        <v>Month status</v>
      </c>
      <c r="C2" s="202" t="str">
        <v>Not started</v>
      </c>
      <c r="D2" s="203"/>
      <c r="E2" s="203"/>
      <c r="F2" s="204"/>
      <c r="G2" s="3"/>
      <c r="H2" s="3" t="str">
        <f>'Billable summary'!F4</f>
        <v>Enter your name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tr">
        <v>Amber / brown cells are editable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55"/>
    </row>
    <row r="3" ht="23" customHeight="1">
      <c r="A3" s="3"/>
      <c r="B3" s="3" t="str">
        <v>Enter hours against each project and date. Mark the month Actual or Forecast to include it in the summaries.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55"/>
    </row>
    <row r="4" ht="34" customHeight="1">
      <c r="A4" s="3"/>
      <c r="B4" s="4" t="str">
        <f>TEXT(DATE('Billable summary'!$C$4,12,1),"mmmm yyyy")</f>
        <v>December 2026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55"/>
    </row>
    <row r="5" ht="23" customHeight="1">
      <c r="A5" s="3"/>
      <c r="B5" s="3"/>
      <c r="C5" s="48" t="n">
        <f>IF(1&lt;=DAY(DATE('Billable summary'!$C$4,13,0)),DATE('Billable summary'!$C$4,12,1),"")</f>
        <v>46357</v>
      </c>
      <c r="D5" s="48" t="n">
        <f>IF(2&lt;=DAY(DATE('Billable summary'!$C$4,13,0)),DATE('Billable summary'!$C$4,12,2),"")</f>
        <v>46358</v>
      </c>
      <c r="E5" s="48" t="n">
        <f>IF(3&lt;=DAY(DATE('Billable summary'!$C$4,13,0)),DATE('Billable summary'!$C$4,12,3),"")</f>
        <v>46359</v>
      </c>
      <c r="F5" s="48" t="n">
        <f>IF(4&lt;=DAY(DATE('Billable summary'!$C$4,13,0)),DATE('Billable summary'!$C$4,12,4),"")</f>
        <v>46360</v>
      </c>
      <c r="G5" s="48" t="n">
        <f>IF(5&lt;=DAY(DATE('Billable summary'!$C$4,13,0)),DATE('Billable summary'!$C$4,12,5),"")</f>
        <v>46361</v>
      </c>
      <c r="H5" s="48" t="n">
        <f>IF(6&lt;=DAY(DATE('Billable summary'!$C$4,13,0)),DATE('Billable summary'!$C$4,12,6),"")</f>
        <v>46362</v>
      </c>
      <c r="I5" s="48" t="n">
        <f>IF(7&lt;=DAY(DATE('Billable summary'!$C$4,13,0)),DATE('Billable summary'!$C$4,12,7),"")</f>
        <v>46363</v>
      </c>
      <c r="J5" s="48" t="n">
        <f>IF(8&lt;=DAY(DATE('Billable summary'!$C$4,13,0)),DATE('Billable summary'!$C$4,12,8),"")</f>
        <v>46364</v>
      </c>
      <c r="K5" s="48" t="n">
        <f>IF(9&lt;=DAY(DATE('Billable summary'!$C$4,13,0)),DATE('Billable summary'!$C$4,12,9),"")</f>
        <v>46365</v>
      </c>
      <c r="L5" s="48" t="n">
        <f>IF(10&lt;=DAY(DATE('Billable summary'!$C$4,13,0)),DATE('Billable summary'!$C$4,12,10),"")</f>
        <v>46366</v>
      </c>
      <c r="M5" s="48" t="n">
        <f>IF(11&lt;=DAY(DATE('Billable summary'!$C$4,13,0)),DATE('Billable summary'!$C$4,12,11),"")</f>
        <v>46367</v>
      </c>
      <c r="N5" s="48" t="n">
        <f>IF(12&lt;=DAY(DATE('Billable summary'!$C$4,13,0)),DATE('Billable summary'!$C$4,12,12),"")</f>
        <v>46368</v>
      </c>
      <c r="O5" s="48" t="n">
        <f>IF(13&lt;=DAY(DATE('Billable summary'!$C$4,13,0)),DATE('Billable summary'!$C$4,12,13),"")</f>
        <v>46369</v>
      </c>
      <c r="P5" s="48" t="n">
        <f>IF(14&lt;=DAY(DATE('Billable summary'!$C$4,13,0)),DATE('Billable summary'!$C$4,12,14),"")</f>
        <v>46370</v>
      </c>
      <c r="Q5" s="48" t="n">
        <f>IF(15&lt;=DAY(DATE('Billable summary'!$C$4,13,0)),DATE('Billable summary'!$C$4,12,15),"")</f>
        <v>46371</v>
      </c>
      <c r="R5" s="48" t="n">
        <f>IF(16&lt;=DAY(DATE('Billable summary'!$C$4,13,0)),DATE('Billable summary'!$C$4,12,16),"")</f>
        <v>46372</v>
      </c>
      <c r="S5" s="48" t="n">
        <f>IF(17&lt;=DAY(DATE('Billable summary'!$C$4,13,0)),DATE('Billable summary'!$C$4,12,17),"")</f>
        <v>46373</v>
      </c>
      <c r="T5" s="48" t="n">
        <f>IF(18&lt;=DAY(DATE('Billable summary'!$C$4,13,0)),DATE('Billable summary'!$C$4,12,18),"")</f>
        <v>46374</v>
      </c>
      <c r="U5" s="48" t="n">
        <f>IF(19&lt;=DAY(DATE('Billable summary'!$C$4,13,0)),DATE('Billable summary'!$C$4,12,19),"")</f>
        <v>46375</v>
      </c>
      <c r="V5" s="48" t="n">
        <f>IF(20&lt;=DAY(DATE('Billable summary'!$C$4,13,0)),DATE('Billable summary'!$C$4,12,20),"")</f>
        <v>46376</v>
      </c>
      <c r="W5" s="48" t="n">
        <f>IF(21&lt;=DAY(DATE('Billable summary'!$C$4,13,0)),DATE('Billable summary'!$C$4,12,21),"")</f>
        <v>46377</v>
      </c>
      <c r="X5" s="48" t="n">
        <f>IF(22&lt;=DAY(DATE('Billable summary'!$C$4,13,0)),DATE('Billable summary'!$C$4,12,22),"")</f>
        <v>46378</v>
      </c>
      <c r="Y5" s="48" t="n">
        <f>IF(23&lt;=DAY(DATE('Billable summary'!$C$4,13,0)),DATE('Billable summary'!$C$4,12,23),"")</f>
        <v>46379</v>
      </c>
      <c r="Z5" s="48" t="n">
        <f>IF(24&lt;=DAY(DATE('Billable summary'!$C$4,13,0)),DATE('Billable summary'!$C$4,12,24),"")</f>
        <v>46380</v>
      </c>
      <c r="AA5" s="48" t="n">
        <f>IF(25&lt;=DAY(DATE('Billable summary'!$C$4,13,0)),DATE('Billable summary'!$C$4,12,25),"")</f>
        <v>46381</v>
      </c>
      <c r="AB5" s="48" t="n">
        <f>IF(26&lt;=DAY(DATE('Billable summary'!$C$4,13,0)),DATE('Billable summary'!$C$4,12,26),"")</f>
        <v>46382</v>
      </c>
      <c r="AC5" s="48" t="n">
        <f>IF(27&lt;=DAY(DATE('Billable summary'!$C$4,13,0)),DATE('Billable summary'!$C$4,12,27),"")</f>
        <v>46383</v>
      </c>
      <c r="AD5" s="48" t="n">
        <f>IF(28&lt;=DAY(DATE('Billable summary'!$C$4,13,0)),DATE('Billable summary'!$C$4,12,28),"")</f>
        <v>46384</v>
      </c>
      <c r="AE5" s="48" t="n">
        <f>IF(29&lt;=DAY(DATE('Billable summary'!$C$4,13,0)),DATE('Billable summary'!$C$4,12,29),"")</f>
        <v>46385</v>
      </c>
      <c r="AF5" s="48" t="n">
        <f>IF(30&lt;=DAY(DATE('Billable summary'!$C$4,13,0)),DATE('Billable summary'!$C$4,12,30),"")</f>
        <v>46386</v>
      </c>
      <c r="AG5" s="48" t="n">
        <f>IF(31&lt;=DAY(DATE('Billable summary'!$C$4,13,0)),DATE('Billable summary'!$C$4,12,31),"")</f>
        <v>46387</v>
      </c>
      <c r="AH5" s="3"/>
      <c r="AI5" s="55"/>
    </row>
    <row r="6" ht="32" customHeight="1">
      <c r="A6" s="3"/>
      <c r="B6" s="217" t="str">
        <v>Billable customer engagement</v>
      </c>
      <c r="C6" s="142" t="n">
        <f>IF(C$5="","",C$5)</f>
        <v>46357</v>
      </c>
      <c r="D6" s="142" t="n">
        <f>IF(D$5="","",D$5)</f>
        <v>46358</v>
      </c>
      <c r="E6" s="142" t="n">
        <f>IF(E$5="","",E$5)</f>
        <v>46359</v>
      </c>
      <c r="F6" s="142" t="n">
        <f>IF(F$5="","",F$5)</f>
        <v>46360</v>
      </c>
      <c r="G6" s="142" t="n">
        <f>IF(G$5="","",G$5)</f>
        <v>46361</v>
      </c>
      <c r="H6" s="142" t="n">
        <f>IF(H$5="","",H$5)</f>
        <v>46362</v>
      </c>
      <c r="I6" s="142" t="n">
        <f>IF(I$5="","",I$5)</f>
        <v>46363</v>
      </c>
      <c r="J6" s="142" t="n">
        <f>IF(J$5="","",J$5)</f>
        <v>46364</v>
      </c>
      <c r="K6" s="142" t="n">
        <f>IF(K$5="","",K$5)</f>
        <v>46365</v>
      </c>
      <c r="L6" s="142" t="n">
        <f>IF(L$5="","",L$5)</f>
        <v>46366</v>
      </c>
      <c r="M6" s="142" t="n">
        <f>IF(M$5="","",M$5)</f>
        <v>46367</v>
      </c>
      <c r="N6" s="142" t="n">
        <f>IF(N$5="","",N$5)</f>
        <v>46368</v>
      </c>
      <c r="O6" s="142" t="n">
        <f>IF(O$5="","",O$5)</f>
        <v>46369</v>
      </c>
      <c r="P6" s="142" t="n">
        <f>IF(P$5="","",P$5)</f>
        <v>46370</v>
      </c>
      <c r="Q6" s="142" t="n">
        <f>IF(Q$5="","",Q$5)</f>
        <v>46371</v>
      </c>
      <c r="R6" s="142" t="n">
        <f>IF(R$5="","",R$5)</f>
        <v>46372</v>
      </c>
      <c r="S6" s="142" t="n">
        <f>IF(S$5="","",S$5)</f>
        <v>46373</v>
      </c>
      <c r="T6" s="142" t="n">
        <f>IF(T$5="","",T$5)</f>
        <v>46374</v>
      </c>
      <c r="U6" s="142" t="n">
        <f>IF(U$5="","",U$5)</f>
        <v>46375</v>
      </c>
      <c r="V6" s="142" t="n">
        <f>IF(V$5="","",V$5)</f>
        <v>46376</v>
      </c>
      <c r="W6" s="142" t="n">
        <f>IF(W$5="","",W$5)</f>
        <v>46377</v>
      </c>
      <c r="X6" s="142" t="n">
        <f>IF(X$5="","",X$5)</f>
        <v>46378</v>
      </c>
      <c r="Y6" s="142" t="n">
        <f>IF(Y$5="","",Y$5)</f>
        <v>46379</v>
      </c>
      <c r="Z6" s="142" t="n">
        <f>IF(Z$5="","",Z$5)</f>
        <v>46380</v>
      </c>
      <c r="AA6" s="142" t="n">
        <f>IF(AA$5="","",AA$5)</f>
        <v>46381</v>
      </c>
      <c r="AB6" s="142" t="n">
        <f>IF(AB$5="","",AB$5)</f>
        <v>46382</v>
      </c>
      <c r="AC6" s="142" t="n">
        <f>IF(AC$5="","",AC$5)</f>
        <v>46383</v>
      </c>
      <c r="AD6" s="142" t="n">
        <f>IF(AD$5="","",AD$5)</f>
        <v>46384</v>
      </c>
      <c r="AE6" s="142" t="n">
        <f>IF(AE$5="","",AE$5)</f>
        <v>46385</v>
      </c>
      <c r="AF6" s="142" t="n">
        <f>IF(AF$5="","",AF$5)</f>
        <v>46386</v>
      </c>
      <c r="AG6" s="142" t="n">
        <f>IF(AG$5="","",AG$5)</f>
        <v>46387</v>
      </c>
      <c r="AH6" s="218" t="str">
        <v>Total</v>
      </c>
      <c r="AI6" s="55"/>
    </row>
    <row r="7" ht="23" customHeight="1">
      <c r="A7" s="3"/>
      <c r="B7" s="219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220" t="n">
        <f>SUMIF($C$5:$AG$5,"&gt;0",C7:AG7)</f>
        <v>0</v>
      </c>
      <c r="AI7" s="55"/>
    </row>
    <row r="8" ht="23" customHeight="1">
      <c r="A8" s="3"/>
      <c r="B8" s="219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220" t="n">
        <f>SUMIF($C$5:$AG$5,"&gt;0",C8:AG8)</f>
        <v>0</v>
      </c>
      <c r="AI8" s="55"/>
    </row>
    <row r="9" ht="23" customHeight="1">
      <c r="A9" s="3"/>
      <c r="B9" s="219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220" t="n">
        <f>SUMIF($C$5:$AG$5,"&gt;0",C9:AG9)</f>
        <v>0</v>
      </c>
      <c r="AI9" s="55"/>
    </row>
    <row r="10" ht="23" customHeight="1">
      <c r="A10" s="3"/>
      <c r="B10" s="219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220" t="n">
        <f>SUMIF($C$5:$AG$5,"&gt;0",C10:AG10)</f>
        <v>0</v>
      </c>
      <c r="AI10" s="55"/>
    </row>
    <row r="11" ht="23" customHeight="1">
      <c r="A11" s="3"/>
      <c r="B11" s="219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220" t="n">
        <f>SUMIF($C$5:$AG$5,"&gt;0",C11:AG11)</f>
        <v>0</v>
      </c>
      <c r="AI11" s="55"/>
    </row>
    <row r="12" ht="23" customHeight="1">
      <c r="A12" s="3"/>
      <c r="B12" s="219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220" t="n">
        <f>SUMIF($C$5:$AG$5,"&gt;0",C12:AG12)</f>
        <v>0</v>
      </c>
      <c r="AI12" s="55"/>
    </row>
    <row r="13" ht="23" customHeight="1">
      <c r="A13" s="3"/>
      <c r="B13" s="219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220" t="n">
        <f>SUMIF($C$5:$AG$5,"&gt;0",C13:AG13)</f>
        <v>0</v>
      </c>
      <c r="AI13" s="55"/>
    </row>
    <row r="14" ht="23" customHeight="1">
      <c r="A14" s="3"/>
      <c r="B14" s="219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220" t="n">
        <f>SUMIF($C$5:$AG$5,"&gt;0",C14:AG14)</f>
        <v>0</v>
      </c>
      <c r="AI14" s="55"/>
    </row>
    <row r="15" ht="23" customHeight="1">
      <c r="A15" s="3"/>
      <c r="B15" s="219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220" t="n">
        <f>SUMIF($C$5:$AG$5,"&gt;0",C15:AG15)</f>
        <v>0</v>
      </c>
      <c r="AI15" s="55"/>
    </row>
    <row r="16" ht="23" customHeight="1">
      <c r="A16" s="3"/>
      <c r="B16" s="219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220" t="n">
        <f>SUMIF($C$5:$AG$5,"&gt;0",C16:AG16)</f>
        <v>0</v>
      </c>
      <c r="AI16" s="55"/>
    </row>
    <row r="17" ht="26" customHeight="1">
      <c r="A17" s="3"/>
      <c r="B17" s="221" t="str">
        <v>Billable hours</v>
      </c>
      <c r="C17" s="146" t="n">
        <f>IF(C$5="","",SUM(C7:C16))</f>
        <v>0</v>
      </c>
      <c r="D17" s="146" t="n">
        <f>IF(D$5="","",SUM(D7:D16))</f>
        <v>0</v>
      </c>
      <c r="E17" s="146" t="n">
        <f>IF(E$5="","",SUM(E7:E16))</f>
        <v>0</v>
      </c>
      <c r="F17" s="146" t="n">
        <f>IF(F$5="","",SUM(F7:F16))</f>
        <v>0</v>
      </c>
      <c r="G17" s="146" t="n">
        <f>IF(G$5="","",SUM(G7:G16))</f>
        <v>0</v>
      </c>
      <c r="H17" s="146" t="n">
        <f>IF(H$5="","",SUM(H7:H16))</f>
        <v>0</v>
      </c>
      <c r="I17" s="146" t="n">
        <f>IF(I$5="","",SUM(I7:I16))</f>
        <v>0</v>
      </c>
      <c r="J17" s="146" t="n">
        <f>IF(J$5="","",SUM(J7:J16))</f>
        <v>0</v>
      </c>
      <c r="K17" s="146" t="n">
        <f>IF(K$5="","",SUM(K7:K16))</f>
        <v>0</v>
      </c>
      <c r="L17" s="146" t="n">
        <f>IF(L$5="","",SUM(L7:L16))</f>
        <v>0</v>
      </c>
      <c r="M17" s="146" t="n">
        <f>IF(M$5="","",SUM(M7:M16))</f>
        <v>0</v>
      </c>
      <c r="N17" s="146" t="n">
        <f>IF(N$5="","",SUM(N7:N16))</f>
        <v>0</v>
      </c>
      <c r="O17" s="146" t="n">
        <f>IF(O$5="","",SUM(O7:O16))</f>
        <v>0</v>
      </c>
      <c r="P17" s="146" t="n">
        <f>IF(P$5="","",SUM(P7:P16))</f>
        <v>0</v>
      </c>
      <c r="Q17" s="146" t="n">
        <f>IF(Q$5="","",SUM(Q7:Q16))</f>
        <v>0</v>
      </c>
      <c r="R17" s="146" t="n">
        <f>IF(R$5="","",SUM(R7:R16))</f>
        <v>0</v>
      </c>
      <c r="S17" s="146" t="n">
        <f>IF(S$5="","",SUM(S7:S16))</f>
        <v>0</v>
      </c>
      <c r="T17" s="146" t="n">
        <f>IF(T$5="","",SUM(T7:T16))</f>
        <v>0</v>
      </c>
      <c r="U17" s="146" t="n">
        <f>IF(U$5="","",SUM(U7:U16))</f>
        <v>0</v>
      </c>
      <c r="V17" s="146" t="n">
        <f>IF(V$5="","",SUM(V7:V16))</f>
        <v>0</v>
      </c>
      <c r="W17" s="146" t="n">
        <f>IF(W$5="","",SUM(W7:W16))</f>
        <v>0</v>
      </c>
      <c r="X17" s="146" t="n">
        <f>IF(X$5="","",SUM(X7:X16))</f>
        <v>0</v>
      </c>
      <c r="Y17" s="146" t="n">
        <f>IF(Y$5="","",SUM(Y7:Y16))</f>
        <v>0</v>
      </c>
      <c r="Z17" s="146" t="n">
        <f>IF(Z$5="","",SUM(Z7:Z16))</f>
        <v>0</v>
      </c>
      <c r="AA17" s="146" t="n">
        <f>IF(AA$5="","",SUM(AA7:AA16))</f>
        <v>0</v>
      </c>
      <c r="AB17" s="146" t="n">
        <f>IF(AB$5="","",SUM(AB7:AB16))</f>
        <v>0</v>
      </c>
      <c r="AC17" s="146" t="n">
        <f>IF(AC$5="","",SUM(AC7:AC16))</f>
        <v>0</v>
      </c>
      <c r="AD17" s="146" t="n">
        <f>IF(AD$5="","",SUM(AD7:AD16))</f>
        <v>0</v>
      </c>
      <c r="AE17" s="146" t="n">
        <f>IF(AE$5="","",SUM(AE7:AE16))</f>
        <v>0</v>
      </c>
      <c r="AF17" s="146" t="n">
        <f>IF(AF$5="","",SUM(AF7:AF16))</f>
        <v>0</v>
      </c>
      <c r="AG17" s="146" t="n">
        <f>IF(AG$5="","",SUM(AG7:AG16))</f>
        <v>0</v>
      </c>
      <c r="AH17" s="222" t="n">
        <f>SUM(C17:AG17)</f>
        <v>0</v>
      </c>
      <c r="AI17" s="55"/>
    </row>
    <row r="18" ht="23" customHeight="1">
      <c r="A18" s="3"/>
      <c r="B18" s="67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3"/>
      <c r="AI18" s="55"/>
    </row>
    <row r="19" ht="32" customHeight="1">
      <c r="A19" s="3"/>
      <c r="B19" s="217" t="str">
        <v>Concessions &amp; work at risk</v>
      </c>
      <c r="C19" s="142" t="n">
        <f>IF(C$5="","",C$5)</f>
        <v>46357</v>
      </c>
      <c r="D19" s="142" t="n">
        <f>IF(D$5="","",D$5)</f>
        <v>46358</v>
      </c>
      <c r="E19" s="142" t="n">
        <f>IF(E$5="","",E$5)</f>
        <v>46359</v>
      </c>
      <c r="F19" s="142" t="n">
        <f>IF(F$5="","",F$5)</f>
        <v>46360</v>
      </c>
      <c r="G19" s="142" t="n">
        <f>IF(G$5="","",G$5)</f>
        <v>46361</v>
      </c>
      <c r="H19" s="142" t="n">
        <f>IF(H$5="","",H$5)</f>
        <v>46362</v>
      </c>
      <c r="I19" s="142" t="n">
        <f>IF(I$5="","",I$5)</f>
        <v>46363</v>
      </c>
      <c r="J19" s="142" t="n">
        <f>IF(J$5="","",J$5)</f>
        <v>46364</v>
      </c>
      <c r="K19" s="142" t="n">
        <f>IF(K$5="","",K$5)</f>
        <v>46365</v>
      </c>
      <c r="L19" s="142" t="n">
        <f>IF(L$5="","",L$5)</f>
        <v>46366</v>
      </c>
      <c r="M19" s="142" t="n">
        <f>IF(M$5="","",M$5)</f>
        <v>46367</v>
      </c>
      <c r="N19" s="142" t="n">
        <f>IF(N$5="","",N$5)</f>
        <v>46368</v>
      </c>
      <c r="O19" s="142" t="n">
        <f>IF(O$5="","",O$5)</f>
        <v>46369</v>
      </c>
      <c r="P19" s="142" t="n">
        <f>IF(P$5="","",P$5)</f>
        <v>46370</v>
      </c>
      <c r="Q19" s="142" t="n">
        <f>IF(Q$5="","",Q$5)</f>
        <v>46371</v>
      </c>
      <c r="R19" s="142" t="n">
        <f>IF(R$5="","",R$5)</f>
        <v>46372</v>
      </c>
      <c r="S19" s="142" t="n">
        <f>IF(S$5="","",S$5)</f>
        <v>46373</v>
      </c>
      <c r="T19" s="142" t="n">
        <f>IF(T$5="","",T$5)</f>
        <v>46374</v>
      </c>
      <c r="U19" s="142" t="n">
        <f>IF(U$5="","",U$5)</f>
        <v>46375</v>
      </c>
      <c r="V19" s="142" t="n">
        <f>IF(V$5="","",V$5)</f>
        <v>46376</v>
      </c>
      <c r="W19" s="142" t="n">
        <f>IF(W$5="","",W$5)</f>
        <v>46377</v>
      </c>
      <c r="X19" s="142" t="n">
        <f>IF(X$5="","",X$5)</f>
        <v>46378</v>
      </c>
      <c r="Y19" s="142" t="n">
        <f>IF(Y$5="","",Y$5)</f>
        <v>46379</v>
      </c>
      <c r="Z19" s="142" t="n">
        <f>IF(Z$5="","",Z$5)</f>
        <v>46380</v>
      </c>
      <c r="AA19" s="142" t="n">
        <f>IF(AA$5="","",AA$5)</f>
        <v>46381</v>
      </c>
      <c r="AB19" s="142" t="n">
        <f>IF(AB$5="","",AB$5)</f>
        <v>46382</v>
      </c>
      <c r="AC19" s="142" t="n">
        <f>IF(AC$5="","",AC$5)</f>
        <v>46383</v>
      </c>
      <c r="AD19" s="142" t="n">
        <f>IF(AD$5="","",AD$5)</f>
        <v>46384</v>
      </c>
      <c r="AE19" s="142" t="n">
        <f>IF(AE$5="","",AE$5)</f>
        <v>46385</v>
      </c>
      <c r="AF19" s="142" t="n">
        <f>IF(AF$5="","",AF$5)</f>
        <v>46386</v>
      </c>
      <c r="AG19" s="142" t="n">
        <f>IF(AG$5="","",AG$5)</f>
        <v>46387</v>
      </c>
      <c r="AH19" s="218" t="str">
        <v>Total</v>
      </c>
      <c r="AI19" s="55"/>
    </row>
    <row r="20" ht="23" customHeight="1">
      <c r="A20" s="3"/>
      <c r="B20" s="219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220" t="n">
        <f>SUMIF($C$5:$AG$5,"&gt;0",C20:AG20)</f>
        <v>0</v>
      </c>
      <c r="AI20" s="55"/>
    </row>
    <row r="21" ht="23" customHeight="1">
      <c r="A21" s="3"/>
      <c r="B21" s="219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220" t="n">
        <f>SUMIF($C$5:$AG$5,"&gt;0",C21:AG21)</f>
        <v>0</v>
      </c>
      <c r="AI21" s="55"/>
    </row>
    <row r="22" ht="23" customHeight="1">
      <c r="A22" s="3"/>
      <c r="B22" s="219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220" t="n">
        <f>SUMIF($C$5:$AG$5,"&gt;0",C22:AG22)</f>
        <v>0</v>
      </c>
      <c r="AI22" s="55"/>
    </row>
    <row r="23" ht="23" customHeight="1">
      <c r="A23" s="3"/>
      <c r="B23" s="219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220" t="n">
        <f>SUMIF($C$5:$AG$5,"&gt;0",C23:AG23)</f>
        <v>0</v>
      </c>
      <c r="AI23" s="55"/>
    </row>
    <row r="24" ht="23" customHeight="1">
      <c r="A24" s="3"/>
      <c r="B24" s="219" t="str">
        <v>Work at risk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220" t="n">
        <f>SUMIF($C$5:$AG$5,"&gt;0",C24:AG24)</f>
        <v>0</v>
      </c>
      <c r="AI24" s="55"/>
    </row>
    <row r="25" ht="23" customHeight="1">
      <c r="A25" s="3"/>
      <c r="B25" s="219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220" t="n">
        <f>SUMIF($C$5:$AG$5,"&gt;0",C25:AG25)</f>
        <v>0</v>
      </c>
      <c r="AI25" s="55"/>
    </row>
    <row r="26" ht="32" customHeight="1">
      <c r="A26" s="3"/>
      <c r="B26" s="221" t="str">
        <v>Concessions &amp; work at risk hours</v>
      </c>
      <c r="C26" s="146" t="n">
        <f>IF(C$5="","",SUM(C20:C25))</f>
        <v>0</v>
      </c>
      <c r="D26" s="146" t="n">
        <f>IF(D$5="","",SUM(D20:D25))</f>
        <v>0</v>
      </c>
      <c r="E26" s="146" t="n">
        <f>IF(E$5="","",SUM(E20:E25))</f>
        <v>0</v>
      </c>
      <c r="F26" s="146" t="n">
        <f>IF(F$5="","",SUM(F20:F25))</f>
        <v>0</v>
      </c>
      <c r="G26" s="146" t="n">
        <f>IF(G$5="","",SUM(G20:G25))</f>
        <v>0</v>
      </c>
      <c r="H26" s="146" t="n">
        <f>IF(H$5="","",SUM(H20:H25))</f>
        <v>0</v>
      </c>
      <c r="I26" s="146" t="n">
        <f>IF(I$5="","",SUM(I20:I25))</f>
        <v>0</v>
      </c>
      <c r="J26" s="146" t="n">
        <f>IF(J$5="","",SUM(J20:J25))</f>
        <v>0</v>
      </c>
      <c r="K26" s="146" t="n">
        <f>IF(K$5="","",SUM(K20:K25))</f>
        <v>0</v>
      </c>
      <c r="L26" s="146" t="n">
        <f>IF(L$5="","",SUM(L20:L25))</f>
        <v>0</v>
      </c>
      <c r="M26" s="146" t="n">
        <f>IF(M$5="","",SUM(M20:M25))</f>
        <v>0</v>
      </c>
      <c r="N26" s="146" t="n">
        <f>IF(N$5="","",SUM(N20:N25))</f>
        <v>0</v>
      </c>
      <c r="O26" s="146" t="n">
        <f>IF(O$5="","",SUM(O20:O25))</f>
        <v>0</v>
      </c>
      <c r="P26" s="146" t="n">
        <f>IF(P$5="","",SUM(P20:P25))</f>
        <v>0</v>
      </c>
      <c r="Q26" s="146" t="n">
        <f>IF(Q$5="","",SUM(Q20:Q25))</f>
        <v>0</v>
      </c>
      <c r="R26" s="146" t="n">
        <f>IF(R$5="","",SUM(R20:R25))</f>
        <v>0</v>
      </c>
      <c r="S26" s="146" t="n">
        <f>IF(S$5="","",SUM(S20:S25))</f>
        <v>0</v>
      </c>
      <c r="T26" s="146" t="n">
        <f>IF(T$5="","",SUM(T20:T25))</f>
        <v>0</v>
      </c>
      <c r="U26" s="146" t="n">
        <f>IF(U$5="","",SUM(U20:U25))</f>
        <v>0</v>
      </c>
      <c r="V26" s="146" t="n">
        <f>IF(V$5="","",SUM(V20:V25))</f>
        <v>0</v>
      </c>
      <c r="W26" s="146" t="n">
        <f>IF(W$5="","",SUM(W20:W25))</f>
        <v>0</v>
      </c>
      <c r="X26" s="146" t="n">
        <f>IF(X$5="","",SUM(X20:X25))</f>
        <v>0</v>
      </c>
      <c r="Y26" s="146" t="n">
        <f>IF(Y$5="","",SUM(Y20:Y25))</f>
        <v>0</v>
      </c>
      <c r="Z26" s="146" t="n">
        <f>IF(Z$5="","",SUM(Z20:Z25))</f>
        <v>0</v>
      </c>
      <c r="AA26" s="146" t="n">
        <f>IF(AA$5="","",SUM(AA20:AA25))</f>
        <v>0</v>
      </c>
      <c r="AB26" s="146" t="n">
        <f>IF(AB$5="","",SUM(AB20:AB25))</f>
        <v>0</v>
      </c>
      <c r="AC26" s="146" t="n">
        <f>IF(AC$5="","",SUM(AC20:AC25))</f>
        <v>0</v>
      </c>
      <c r="AD26" s="146" t="n">
        <f>IF(AD$5="","",SUM(AD20:AD25))</f>
        <v>0</v>
      </c>
      <c r="AE26" s="146" t="n">
        <f>IF(AE$5="","",SUM(AE20:AE25))</f>
        <v>0</v>
      </c>
      <c r="AF26" s="146" t="n">
        <f>IF(AF$5="","",SUM(AF20:AF25))</f>
        <v>0</v>
      </c>
      <c r="AG26" s="146" t="n">
        <f>IF(AG$5="","",SUM(AG20:AG25))</f>
        <v>0</v>
      </c>
      <c r="AH26" s="222" t="n">
        <f>SUM(C26:AG26)</f>
        <v>0</v>
      </c>
      <c r="AI26" s="55"/>
    </row>
    <row r="27" ht="23" customHeight="1">
      <c r="A27" s="3"/>
      <c r="B27" s="67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3"/>
      <c r="AI27" s="55"/>
    </row>
    <row r="28" ht="32" customHeight="1">
      <c r="A28" s="3"/>
      <c r="B28" s="221" t="str">
        <v>Billable + concessions / work at risk</v>
      </c>
      <c r="C28" s="146" t="n">
        <f>IF(C$5="","",SUM(C17,C26))</f>
        <v>0</v>
      </c>
      <c r="D28" s="146" t="n">
        <f>IF(D$5="","",SUM(D17,D26))</f>
        <v>0</v>
      </c>
      <c r="E28" s="146" t="n">
        <f>IF(E$5="","",SUM(E17,E26))</f>
        <v>0</v>
      </c>
      <c r="F28" s="146" t="n">
        <f>IF(F$5="","",SUM(F17,F26))</f>
        <v>0</v>
      </c>
      <c r="G28" s="146" t="n">
        <f>IF(G$5="","",SUM(G17,G26))</f>
        <v>0</v>
      </c>
      <c r="H28" s="146" t="n">
        <f>IF(H$5="","",SUM(H17,H26))</f>
        <v>0</v>
      </c>
      <c r="I28" s="146" t="n">
        <f>IF(I$5="","",SUM(I17,I26))</f>
        <v>0</v>
      </c>
      <c r="J28" s="146" t="n">
        <f>IF(J$5="","",SUM(J17,J26))</f>
        <v>0</v>
      </c>
      <c r="K28" s="146" t="n">
        <f>IF(K$5="","",SUM(K17,K26))</f>
        <v>0</v>
      </c>
      <c r="L28" s="146" t="n">
        <f>IF(L$5="","",SUM(L17,L26))</f>
        <v>0</v>
      </c>
      <c r="M28" s="146" t="n">
        <f>IF(M$5="","",SUM(M17,M26))</f>
        <v>0</v>
      </c>
      <c r="N28" s="146" t="n">
        <f>IF(N$5="","",SUM(N17,N26))</f>
        <v>0</v>
      </c>
      <c r="O28" s="146" t="n">
        <f>IF(O$5="","",SUM(O17,O26))</f>
        <v>0</v>
      </c>
      <c r="P28" s="146" t="n">
        <f>IF(P$5="","",SUM(P17,P26))</f>
        <v>0</v>
      </c>
      <c r="Q28" s="146" t="n">
        <f>IF(Q$5="","",SUM(Q17,Q26))</f>
        <v>0</v>
      </c>
      <c r="R28" s="146" t="n">
        <f>IF(R$5="","",SUM(R17,R26))</f>
        <v>0</v>
      </c>
      <c r="S28" s="146" t="n">
        <f>IF(S$5="","",SUM(S17,S26))</f>
        <v>0</v>
      </c>
      <c r="T28" s="146" t="n">
        <f>IF(T$5="","",SUM(T17,T26))</f>
        <v>0</v>
      </c>
      <c r="U28" s="146" t="n">
        <f>IF(U$5="","",SUM(U17,U26))</f>
        <v>0</v>
      </c>
      <c r="V28" s="146" t="n">
        <f>IF(V$5="","",SUM(V17,V26))</f>
        <v>0</v>
      </c>
      <c r="W28" s="146" t="n">
        <f>IF(W$5="","",SUM(W17,W26))</f>
        <v>0</v>
      </c>
      <c r="X28" s="146" t="n">
        <f>IF(X$5="","",SUM(X17,X26))</f>
        <v>0</v>
      </c>
      <c r="Y28" s="146" t="n">
        <f>IF(Y$5="","",SUM(Y17,Y26))</f>
        <v>0</v>
      </c>
      <c r="Z28" s="146" t="n">
        <f>IF(Z$5="","",SUM(Z17,Z26))</f>
        <v>0</v>
      </c>
      <c r="AA28" s="146" t="n">
        <f>IF(AA$5="","",SUM(AA17,AA26))</f>
        <v>0</v>
      </c>
      <c r="AB28" s="146" t="n">
        <f>IF(AB$5="","",SUM(AB17,AB26))</f>
        <v>0</v>
      </c>
      <c r="AC28" s="146" t="n">
        <f>IF(AC$5="","",SUM(AC17,AC26))</f>
        <v>0</v>
      </c>
      <c r="AD28" s="146" t="n">
        <f>IF(AD$5="","",SUM(AD17,AD26))</f>
        <v>0</v>
      </c>
      <c r="AE28" s="146" t="n">
        <f>IF(AE$5="","",SUM(AE17,AE26))</f>
        <v>0</v>
      </c>
      <c r="AF28" s="146" t="n">
        <f>IF(AF$5="","",SUM(AF17,AF26))</f>
        <v>0</v>
      </c>
      <c r="AG28" s="146" t="n">
        <f>IF(AG$5="","",SUM(AG17,AG26))</f>
        <v>0</v>
      </c>
      <c r="AH28" s="222" t="n">
        <f>SUM(C28:AG28)</f>
        <v>0</v>
      </c>
      <c r="AI28" s="55"/>
    </row>
    <row r="29" ht="23" customHeight="1">
      <c r="A29" s="3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3"/>
      <c r="AI29" s="55"/>
    </row>
    <row r="30" ht="23" customHeight="1">
      <c r="A30" s="3"/>
      <c r="B30" s="67"/>
      <c r="C30" s="48" t="n">
        <f>IF(C$5="","",C$5)</f>
        <v>46357</v>
      </c>
      <c r="D30" s="48" t="n">
        <f>IF(D$5="","",D$5)</f>
        <v>46358</v>
      </c>
      <c r="E30" s="48" t="n">
        <f>IF(E$5="","",E$5)</f>
        <v>46359</v>
      </c>
      <c r="F30" s="48" t="n">
        <f>IF(F$5="","",F$5)</f>
        <v>46360</v>
      </c>
      <c r="G30" s="48" t="n">
        <f>IF(G$5="","",G$5)</f>
        <v>46361</v>
      </c>
      <c r="H30" s="48" t="n">
        <f>IF(H$5="","",H$5)</f>
        <v>46362</v>
      </c>
      <c r="I30" s="48" t="n">
        <f>IF(I$5="","",I$5)</f>
        <v>46363</v>
      </c>
      <c r="J30" s="48" t="n">
        <f>IF(J$5="","",J$5)</f>
        <v>46364</v>
      </c>
      <c r="K30" s="48" t="n">
        <f>IF(K$5="","",K$5)</f>
        <v>46365</v>
      </c>
      <c r="L30" s="48" t="n">
        <f>IF(L$5="","",L$5)</f>
        <v>46366</v>
      </c>
      <c r="M30" s="48" t="n">
        <f>IF(M$5="","",M$5)</f>
        <v>46367</v>
      </c>
      <c r="N30" s="48" t="n">
        <f>IF(N$5="","",N$5)</f>
        <v>46368</v>
      </c>
      <c r="O30" s="48" t="n">
        <f>IF(O$5="","",O$5)</f>
        <v>46369</v>
      </c>
      <c r="P30" s="48" t="n">
        <f>IF(P$5="","",P$5)</f>
        <v>46370</v>
      </c>
      <c r="Q30" s="48" t="n">
        <f>IF(Q$5="","",Q$5)</f>
        <v>46371</v>
      </c>
      <c r="R30" s="48" t="n">
        <f>IF(R$5="","",R$5)</f>
        <v>46372</v>
      </c>
      <c r="S30" s="48" t="n">
        <f>IF(S$5="","",S$5)</f>
        <v>46373</v>
      </c>
      <c r="T30" s="48" t="n">
        <f>IF(T$5="","",T$5)</f>
        <v>46374</v>
      </c>
      <c r="U30" s="48" t="n">
        <f>IF(U$5="","",U$5)</f>
        <v>46375</v>
      </c>
      <c r="V30" s="48" t="n">
        <f>IF(V$5="","",V$5)</f>
        <v>46376</v>
      </c>
      <c r="W30" s="48" t="n">
        <f>IF(W$5="","",W$5)</f>
        <v>46377</v>
      </c>
      <c r="X30" s="48" t="n">
        <f>IF(X$5="","",X$5)</f>
        <v>46378</v>
      </c>
      <c r="Y30" s="48" t="n">
        <f>IF(Y$5="","",Y$5)</f>
        <v>46379</v>
      </c>
      <c r="Z30" s="48" t="n">
        <f>IF(Z$5="","",Z$5)</f>
        <v>46380</v>
      </c>
      <c r="AA30" s="48" t="n">
        <f>IF(AA$5="","",AA$5)</f>
        <v>46381</v>
      </c>
      <c r="AB30" s="48" t="n">
        <f>IF(AB$5="","",AB$5)</f>
        <v>46382</v>
      </c>
      <c r="AC30" s="48" t="n">
        <f>IF(AC$5="","",AC$5)</f>
        <v>46383</v>
      </c>
      <c r="AD30" s="48" t="n">
        <f>IF(AD$5="","",AD$5)</f>
        <v>46384</v>
      </c>
      <c r="AE30" s="48" t="n">
        <f>IF(AE$5="","",AE$5)</f>
        <v>46385</v>
      </c>
      <c r="AF30" s="48" t="n">
        <f>IF(AF$5="","",AF$5)</f>
        <v>46386</v>
      </c>
      <c r="AG30" s="48" t="n">
        <f>IF(AG$5="","",AG$5)</f>
        <v>46387</v>
      </c>
      <c r="AH30" s="3"/>
      <c r="AI30" s="55"/>
    </row>
    <row r="31" ht="32" customHeight="1">
      <c r="A31" s="3"/>
      <c r="B31" s="217" t="str">
        <v>Project overrun</v>
      </c>
      <c r="C31" s="142" t="n">
        <f>IF(C$5="","",C$5)</f>
        <v>46357</v>
      </c>
      <c r="D31" s="142" t="n">
        <f>IF(D$5="","",D$5)</f>
        <v>46358</v>
      </c>
      <c r="E31" s="142" t="n">
        <f>IF(E$5="","",E$5)</f>
        <v>46359</v>
      </c>
      <c r="F31" s="142" t="n">
        <f>IF(F$5="","",F$5)</f>
        <v>46360</v>
      </c>
      <c r="G31" s="142" t="n">
        <f>IF(G$5="","",G$5)</f>
        <v>46361</v>
      </c>
      <c r="H31" s="142" t="n">
        <f>IF(H$5="","",H$5)</f>
        <v>46362</v>
      </c>
      <c r="I31" s="142" t="n">
        <f>IF(I$5="","",I$5)</f>
        <v>46363</v>
      </c>
      <c r="J31" s="142" t="n">
        <f>IF(J$5="","",J$5)</f>
        <v>46364</v>
      </c>
      <c r="K31" s="142" t="n">
        <f>IF(K$5="","",K$5)</f>
        <v>46365</v>
      </c>
      <c r="L31" s="142" t="n">
        <f>IF(L$5="","",L$5)</f>
        <v>46366</v>
      </c>
      <c r="M31" s="142" t="n">
        <f>IF(M$5="","",M$5)</f>
        <v>46367</v>
      </c>
      <c r="N31" s="142" t="n">
        <f>IF(N$5="","",N$5)</f>
        <v>46368</v>
      </c>
      <c r="O31" s="142" t="n">
        <f>IF(O$5="","",O$5)</f>
        <v>46369</v>
      </c>
      <c r="P31" s="142" t="n">
        <f>IF(P$5="","",P$5)</f>
        <v>46370</v>
      </c>
      <c r="Q31" s="142" t="n">
        <f>IF(Q$5="","",Q$5)</f>
        <v>46371</v>
      </c>
      <c r="R31" s="142" t="n">
        <f>IF(R$5="","",R$5)</f>
        <v>46372</v>
      </c>
      <c r="S31" s="142" t="n">
        <f>IF(S$5="","",S$5)</f>
        <v>46373</v>
      </c>
      <c r="T31" s="142" t="n">
        <f>IF(T$5="","",T$5)</f>
        <v>46374</v>
      </c>
      <c r="U31" s="142" t="n">
        <f>IF(U$5="","",U$5)</f>
        <v>46375</v>
      </c>
      <c r="V31" s="142" t="n">
        <f>IF(V$5="","",V$5)</f>
        <v>46376</v>
      </c>
      <c r="W31" s="142" t="n">
        <f>IF(W$5="","",W$5)</f>
        <v>46377</v>
      </c>
      <c r="X31" s="142" t="n">
        <f>IF(X$5="","",X$5)</f>
        <v>46378</v>
      </c>
      <c r="Y31" s="142" t="n">
        <f>IF(Y$5="","",Y$5)</f>
        <v>46379</v>
      </c>
      <c r="Z31" s="142" t="n">
        <f>IF(Z$5="","",Z$5)</f>
        <v>46380</v>
      </c>
      <c r="AA31" s="142" t="n">
        <f>IF(AA$5="","",AA$5)</f>
        <v>46381</v>
      </c>
      <c r="AB31" s="142" t="n">
        <f>IF(AB$5="","",AB$5)</f>
        <v>46382</v>
      </c>
      <c r="AC31" s="142" t="n">
        <f>IF(AC$5="","",AC$5)</f>
        <v>46383</v>
      </c>
      <c r="AD31" s="142" t="n">
        <f>IF(AD$5="","",AD$5)</f>
        <v>46384</v>
      </c>
      <c r="AE31" s="142" t="n">
        <f>IF(AE$5="","",AE$5)</f>
        <v>46385</v>
      </c>
      <c r="AF31" s="142" t="n">
        <f>IF(AF$5="","",AF$5)</f>
        <v>46386</v>
      </c>
      <c r="AG31" s="142" t="n">
        <f>IF(AG$5="","",AG$5)</f>
        <v>46387</v>
      </c>
      <c r="AH31" s="218" t="str">
        <v>Total</v>
      </c>
      <c r="AI31" s="55"/>
    </row>
    <row r="32" ht="23" customHeight="1">
      <c r="A32" s="3"/>
      <c r="B32" s="219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220" t="n">
        <f>SUMIF($C$5:$AG$5,"&gt;0",C32:AG32)</f>
        <v>0</v>
      </c>
      <c r="AI32" s="55"/>
    </row>
    <row r="33" ht="23" customHeight="1">
      <c r="A33" s="3"/>
      <c r="B33" s="219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220" t="n">
        <f>SUMIF($C$5:$AG$5,"&gt;0",C33:AG33)</f>
        <v>0</v>
      </c>
      <c r="AI33" s="55"/>
    </row>
    <row r="34" ht="23" customHeight="1">
      <c r="A34" s="3"/>
      <c r="B34" s="219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220" t="n">
        <f>SUMIF($C$5:$AG$5,"&gt;0",C34:AG34)</f>
        <v>0</v>
      </c>
      <c r="AI34" s="55"/>
    </row>
    <row r="35" ht="23" customHeight="1">
      <c r="A35" s="3"/>
      <c r="B35" s="219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220" t="n">
        <f>SUMIF($C$5:$AG$5,"&gt;0",C35:AG35)</f>
        <v>0</v>
      </c>
      <c r="AI35" s="55"/>
    </row>
    <row r="36" ht="26" customHeight="1">
      <c r="A36" s="3"/>
      <c r="B36" s="221" t="str">
        <v>Overrun hours</v>
      </c>
      <c r="C36" s="146" t="n">
        <f>IF(C$5="","",SUM(C32:C35))</f>
        <v>0</v>
      </c>
      <c r="D36" s="146" t="n">
        <f>IF(D$5="","",SUM(D32:D35))</f>
        <v>0</v>
      </c>
      <c r="E36" s="146" t="n">
        <f>IF(E$5="","",SUM(E32:E35))</f>
        <v>0</v>
      </c>
      <c r="F36" s="146" t="n">
        <f>IF(F$5="","",SUM(F32:F35))</f>
        <v>0</v>
      </c>
      <c r="G36" s="146" t="n">
        <f>IF(G$5="","",SUM(G32:G35))</f>
        <v>0</v>
      </c>
      <c r="H36" s="146" t="n">
        <f>IF(H$5="","",SUM(H32:H35))</f>
        <v>0</v>
      </c>
      <c r="I36" s="146" t="n">
        <f>IF(I$5="","",SUM(I32:I35))</f>
        <v>0</v>
      </c>
      <c r="J36" s="146" t="n">
        <f>IF(J$5="","",SUM(J32:J35))</f>
        <v>0</v>
      </c>
      <c r="K36" s="146" t="n">
        <f>IF(K$5="","",SUM(K32:K35))</f>
        <v>0</v>
      </c>
      <c r="L36" s="146" t="n">
        <f>IF(L$5="","",SUM(L32:L35))</f>
        <v>0</v>
      </c>
      <c r="M36" s="146" t="n">
        <f>IF(M$5="","",SUM(M32:M35))</f>
        <v>0</v>
      </c>
      <c r="N36" s="146" t="n">
        <f>IF(N$5="","",SUM(N32:N35))</f>
        <v>0</v>
      </c>
      <c r="O36" s="146" t="n">
        <f>IF(O$5="","",SUM(O32:O35))</f>
        <v>0</v>
      </c>
      <c r="P36" s="146" t="n">
        <f>IF(P$5="","",SUM(P32:P35))</f>
        <v>0</v>
      </c>
      <c r="Q36" s="146" t="n">
        <f>IF(Q$5="","",SUM(Q32:Q35))</f>
        <v>0</v>
      </c>
      <c r="R36" s="146" t="n">
        <f>IF(R$5="","",SUM(R32:R35))</f>
        <v>0</v>
      </c>
      <c r="S36" s="146" t="n">
        <f>IF(S$5="","",SUM(S32:S35))</f>
        <v>0</v>
      </c>
      <c r="T36" s="146" t="n">
        <f>IF(T$5="","",SUM(T32:T35))</f>
        <v>0</v>
      </c>
      <c r="U36" s="146" t="n">
        <f>IF(U$5="","",SUM(U32:U35))</f>
        <v>0</v>
      </c>
      <c r="V36" s="146" t="n">
        <f>IF(V$5="","",SUM(V32:V35))</f>
        <v>0</v>
      </c>
      <c r="W36" s="146" t="n">
        <f>IF(W$5="","",SUM(W32:W35))</f>
        <v>0</v>
      </c>
      <c r="X36" s="146" t="n">
        <f>IF(X$5="","",SUM(X32:X35))</f>
        <v>0</v>
      </c>
      <c r="Y36" s="146" t="n">
        <f>IF(Y$5="","",SUM(Y32:Y35))</f>
        <v>0</v>
      </c>
      <c r="Z36" s="146" t="n">
        <f>IF(Z$5="","",SUM(Z32:Z35))</f>
        <v>0</v>
      </c>
      <c r="AA36" s="146" t="n">
        <f>IF(AA$5="","",SUM(AA32:AA35))</f>
        <v>0</v>
      </c>
      <c r="AB36" s="146" t="n">
        <f>IF(AB$5="","",SUM(AB32:AB35))</f>
        <v>0</v>
      </c>
      <c r="AC36" s="146" t="n">
        <f>IF(AC$5="","",SUM(AC32:AC35))</f>
        <v>0</v>
      </c>
      <c r="AD36" s="146" t="n">
        <f>IF(AD$5="","",SUM(AD32:AD35))</f>
        <v>0</v>
      </c>
      <c r="AE36" s="146" t="n">
        <f>IF(AE$5="","",SUM(AE32:AE35))</f>
        <v>0</v>
      </c>
      <c r="AF36" s="146" t="n">
        <f>IF(AF$5="","",SUM(AF32:AF35))</f>
        <v>0</v>
      </c>
      <c r="AG36" s="146" t="n">
        <f>IF(AG$5="","",SUM(AG32:AG35))</f>
        <v>0</v>
      </c>
      <c r="AH36" s="222" t="n">
        <f>SUM(C36:AG36)</f>
        <v>0</v>
      </c>
      <c r="AI36" s="55"/>
    </row>
    <row r="37" ht="23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55"/>
    </row>
    <row r="38" ht="23" customHeight="1">
      <c r="A38" s="3"/>
      <c r="B38" s="223" t="str">
        <v>Scheduled workdays (Mon–Fri)</v>
      </c>
      <c r="C38" s="224"/>
      <c r="D38" s="224"/>
      <c r="E38" s="224"/>
      <c r="F38" s="224"/>
      <c r="G38" s="224"/>
      <c r="H38" s="225"/>
      <c r="I38" s="226" t="n">
        <f>NETWORKDAYS(DATE('Billable summary'!$C$4,12,1),DATE('Billable summary'!$C$4,13,0))</f>
        <v>23</v>
      </c>
      <c r="J38" s="226"/>
      <c r="K38" s="227"/>
      <c r="L38" s="3"/>
      <c r="M38" s="223" t="str">
        <v>Concession hours</v>
      </c>
      <c r="N38" s="224"/>
      <c r="O38" s="224"/>
      <c r="P38" s="224"/>
      <c r="Q38" s="224"/>
      <c r="R38" s="224"/>
      <c r="S38" s="224"/>
      <c r="T38" s="225"/>
      <c r="U38" s="228" t="n">
        <f>AH26-AH24</f>
        <v>0</v>
      </c>
      <c r="V38" s="228"/>
      <c r="W38" s="229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55"/>
    </row>
    <row r="39" ht="23" customHeight="1">
      <c r="A39" s="3"/>
      <c r="B39" s="230" t="str">
        <v>Company holiday days</v>
      </c>
      <c r="C39" s="209"/>
      <c r="D39" s="209"/>
      <c r="E39" s="209"/>
      <c r="F39" s="209"/>
      <c r="G39" s="209"/>
      <c r="H39" s="231"/>
      <c r="I39" s="232" t="n">
        <v>0</v>
      </c>
      <c r="J39" s="232"/>
      <c r="K39" s="233"/>
      <c r="L39" s="3"/>
      <c r="M39" s="230" t="str">
        <v>Work at risk hours</v>
      </c>
      <c r="N39" s="209"/>
      <c r="O39" s="209"/>
      <c r="P39" s="209"/>
      <c r="Q39" s="209"/>
      <c r="R39" s="209"/>
      <c r="S39" s="209"/>
      <c r="T39" s="231"/>
      <c r="U39" s="234" t="n">
        <f>AH24</f>
        <v>0</v>
      </c>
      <c r="V39" s="234"/>
      <c r="W39" s="235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55"/>
    </row>
    <row r="40" ht="23" customHeight="1">
      <c r="A40" s="3"/>
      <c r="B40" s="230" t="str">
        <v>PTO days</v>
      </c>
      <c r="C40" s="209"/>
      <c r="D40" s="209"/>
      <c r="E40" s="209"/>
      <c r="F40" s="209"/>
      <c r="G40" s="209"/>
      <c r="H40" s="231"/>
      <c r="I40" s="232" t="n">
        <v>0</v>
      </c>
      <c r="J40" s="232"/>
      <c r="K40" s="233"/>
      <c r="L40" s="3"/>
      <c r="M40" s="230" t="str">
        <v>Total MBO hours</v>
      </c>
      <c r="N40" s="209"/>
      <c r="O40" s="209"/>
      <c r="P40" s="209"/>
      <c r="Q40" s="209"/>
      <c r="R40" s="209"/>
      <c r="S40" s="209"/>
      <c r="T40" s="231"/>
      <c r="U40" s="234" t="n">
        <f>AH28+AH36</f>
        <v>0</v>
      </c>
      <c r="V40" s="234"/>
      <c r="W40" s="235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55"/>
    </row>
    <row r="41" ht="23" customHeight="1">
      <c r="A41" s="3"/>
      <c r="B41" s="230" t="str">
        <v>Available hours</v>
      </c>
      <c r="C41" s="209"/>
      <c r="D41" s="209"/>
      <c r="E41" s="209"/>
      <c r="F41" s="209"/>
      <c r="G41" s="209"/>
      <c r="H41" s="231"/>
      <c r="I41" s="234" t="n">
        <f>IF(OR(NOT(ISNUMBER(I38)),NOT(ISNUMBER(I39)),NOT(ISNUMBER(I40)),MIN(I38:I40)&lt;0,I39+I40&gt;I38),"n.a.",(I38-I39-I40)*'Billable summary'!$C$5)</f>
        <v>184</v>
      </c>
      <c r="J41" s="234"/>
      <c r="K41" s="235"/>
      <c r="L41" s="3"/>
      <c r="M41" s="230" t="str">
        <v>MBO utilisation</v>
      </c>
      <c r="N41" s="209"/>
      <c r="O41" s="209"/>
      <c r="P41" s="209"/>
      <c r="Q41" s="209"/>
      <c r="R41" s="209"/>
      <c r="S41" s="209"/>
      <c r="T41" s="231"/>
      <c r="U41" s="236" t="n">
        <f>IF(OR(NOT(ISNUMBER(I41)),I41=0),"n.a.",U40/I41)</f>
        <v>0</v>
      </c>
      <c r="V41" s="236"/>
      <c r="W41" s="237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55"/>
    </row>
    <row r="42" ht="23" customHeight="1">
      <c r="A42" s="3"/>
      <c r="B42" s="230" t="str">
        <v>Billable hours</v>
      </c>
      <c r="C42" s="209"/>
      <c r="D42" s="209"/>
      <c r="E42" s="209"/>
      <c r="F42" s="209"/>
      <c r="G42" s="209"/>
      <c r="H42" s="231"/>
      <c r="I42" s="234" t="n">
        <f>AH17</f>
        <v>0</v>
      </c>
      <c r="J42" s="234"/>
      <c r="K42" s="235"/>
      <c r="L42" s="3"/>
      <c r="M42" s="230" t="str">
        <v>MBO target</v>
      </c>
      <c r="N42" s="209"/>
      <c r="O42" s="209"/>
      <c r="P42" s="209"/>
      <c r="Q42" s="209"/>
      <c r="R42" s="209"/>
      <c r="S42" s="209"/>
      <c r="T42" s="231"/>
      <c r="U42" s="236" t="n">
        <f>'Billable summary'!$N$4</f>
        <v>0.75</v>
      </c>
      <c r="V42" s="236"/>
      <c r="W42" s="237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55"/>
    </row>
    <row r="43" ht="23" customHeight="1">
      <c r="A43" s="3"/>
      <c r="B43" s="230" t="str">
        <v>Billable utilisation</v>
      </c>
      <c r="C43" s="209"/>
      <c r="D43" s="209"/>
      <c r="E43" s="209"/>
      <c r="F43" s="209"/>
      <c r="G43" s="209"/>
      <c r="H43" s="231"/>
      <c r="I43" s="236" t="n">
        <f>IF(OR(NOT(ISNUMBER(I41)),I41=0),"n.a.",I42/I41)</f>
        <v>0</v>
      </c>
      <c r="J43" s="236"/>
      <c r="K43" s="237"/>
      <c r="L43" s="3"/>
      <c r="M43" s="230" t="str">
        <v>MBO achievement to target</v>
      </c>
      <c r="N43" s="209"/>
      <c r="O43" s="209"/>
      <c r="P43" s="209"/>
      <c r="Q43" s="209"/>
      <c r="R43" s="209"/>
      <c r="S43" s="209"/>
      <c r="T43" s="231"/>
      <c r="U43" s="236" t="n">
        <f>IF(AND(ISNUMBER(U41),ISNUMBER(U42),U42&gt;0),U41/U42,"n.a.")</f>
        <v>0</v>
      </c>
      <c r="V43" s="236"/>
      <c r="W43" s="237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55"/>
    </row>
    <row r="44" ht="23" customHeight="1">
      <c r="A44" s="3"/>
      <c r="B44" s="230" t="str">
        <v>Billable target</v>
      </c>
      <c r="C44" s="209"/>
      <c r="D44" s="209"/>
      <c r="E44" s="209"/>
      <c r="F44" s="209"/>
      <c r="G44" s="209"/>
      <c r="H44" s="231"/>
      <c r="I44" s="236" t="n">
        <f>'Billable summary'!$N$4</f>
        <v>0.75</v>
      </c>
      <c r="J44" s="236"/>
      <c r="K44" s="237"/>
      <c r="L44" s="3"/>
      <c r="M44" s="230" t="str">
        <v>Project overrun hours</v>
      </c>
      <c r="N44" s="209"/>
      <c r="O44" s="209"/>
      <c r="P44" s="209"/>
      <c r="Q44" s="209"/>
      <c r="R44" s="209"/>
      <c r="S44" s="209"/>
      <c r="T44" s="231"/>
      <c r="U44" s="234" t="n">
        <f>AH36</f>
        <v>0</v>
      </c>
      <c r="V44" s="234"/>
      <c r="W44" s="235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55"/>
    </row>
    <row r="45" ht="23" customHeight="1">
      <c r="A45" s="3"/>
      <c r="B45" s="230" t="str">
        <v>Achievement to target</v>
      </c>
      <c r="C45" s="209"/>
      <c r="D45" s="209"/>
      <c r="E45" s="209"/>
      <c r="F45" s="209"/>
      <c r="G45" s="209"/>
      <c r="H45" s="231"/>
      <c r="I45" s="236" t="n">
        <f>IF(AND(ISNUMBER(I43),ISNUMBER(I44),I44&gt;0),I43/I44,"n.a.")</f>
        <v>0</v>
      </c>
      <c r="J45" s="236"/>
      <c r="K45" s="237"/>
      <c r="L45" s="3"/>
      <c r="M45" s="230" t="str">
        <v>Billable hours to target</v>
      </c>
      <c r="N45" s="209"/>
      <c r="O45" s="209"/>
      <c r="P45" s="209"/>
      <c r="Q45" s="209"/>
      <c r="R45" s="209"/>
      <c r="S45" s="209"/>
      <c r="T45" s="231"/>
      <c r="U45" s="234" t="n">
        <f>IF(ISNUMBER(I41),MAX(0,I41*I44-I42),"n.a.")</f>
        <v>138</v>
      </c>
      <c r="V45" s="234"/>
      <c r="W45" s="23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55"/>
    </row>
    <row r="46" ht="2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230" t="str">
        <v>MBO hours to target</v>
      </c>
      <c r="N46" s="209"/>
      <c r="O46" s="209"/>
      <c r="P46" s="209"/>
      <c r="Q46" s="209"/>
      <c r="R46" s="209"/>
      <c r="S46" s="209"/>
      <c r="T46" s="231"/>
      <c r="U46" s="234" t="n">
        <f>IF(ISNUMBER(I41),MAX(0,I41*U42-U40),"n.a.")</f>
        <v>138</v>
      </c>
      <c r="V46" s="234"/>
      <c r="W46" s="235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/>
    </row>
    <row r="47" ht="23" customHeight="1">
      <c r="A47" s="3"/>
      <c r="B47" s="3" t="str">
        <v>Workdays default to Monday–Friday. Adjust scheduled workdays if needed. Deduct holiday/PTO days once; do not enter them as work hours.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/>
    </row>
    <row r="48" ht="23" customHeight="1">
      <c r="A48" s="3"/>
      <c r="B48" s="3" t="str">
        <v>Billable utilisation counts only customer engagement hours. MBO adds concessions, work at risk and project overruns.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/>
    </row>
    <row r="49" ht="23" customHeight="1">
      <c r="A49" s="3"/>
      <c r="B49" s="3" t="str">
        <v>Grey columns are weekends or dates outside this month. Weekend work is allowed. Do not enter hours outside the month.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/>
    </row>
    <row r="50" ht="23" customHeight="1">
      <c r="A50" s="3"/>
      <c r="B50" s="3" t="str">
        <v>Daily input check</v>
      </c>
      <c r="C50" s="51" t="str">
        <f>IF(C$5="",IF(COUNTA(C7:C16,C20:C25,C32:C35)&gt;0,"Date",""),IF(COUNTA(C7:C16,C20:C25,C32:C35)&lt;&gt;COUNT(C7:C16,C20:C25,C32:C35),"Text",IF(MIN(C7:C16,C20:C25,C32:C35)&lt;0,"Negative","")))</f>
      </c>
      <c r="D50" s="51" t="str">
        <f>IF(D$5="",IF(COUNTA(D7:D16,D20:D25,D32:D35)&gt;0,"Date",""),IF(COUNTA(D7:D16,D20:D25,D32:D35)&lt;&gt;COUNT(D7:D16,D20:D25,D32:D35),"Text",IF(MIN(D7:D16,D20:D25,D32:D35)&lt;0,"Negative","")))</f>
      </c>
      <c r="E50" s="51" t="str">
        <f>IF(E$5="",IF(COUNTA(E7:E16,E20:E25,E32:E35)&gt;0,"Date",""),IF(COUNTA(E7:E16,E20:E25,E32:E35)&lt;&gt;COUNT(E7:E16,E20:E25,E32:E35),"Text",IF(MIN(E7:E16,E20:E25,E32:E35)&lt;0,"Negative","")))</f>
      </c>
      <c r="F50" s="51" t="str">
        <f>IF(F$5="",IF(COUNTA(F7:F16,F20:F25,F32:F35)&gt;0,"Date",""),IF(COUNTA(F7:F16,F20:F25,F32:F35)&lt;&gt;COUNT(F7:F16,F20:F25,F32:F35),"Text",IF(MIN(F7:F16,F20:F25,F32:F35)&lt;0,"Negative","")))</f>
      </c>
      <c r="G50" s="51" t="str">
        <f>IF(G$5="",IF(COUNTA(G7:G16,G20:G25,G32:G35)&gt;0,"Date",""),IF(COUNTA(G7:G16,G20:G25,G32:G35)&lt;&gt;COUNT(G7:G16,G20:G25,G32:G35),"Text",IF(MIN(G7:G16,G20:G25,G32:G35)&lt;0,"Negative","")))</f>
      </c>
      <c r="H50" s="51" t="str">
        <f>IF(H$5="",IF(COUNTA(H7:H16,H20:H25,H32:H35)&gt;0,"Date",""),IF(COUNTA(H7:H16,H20:H25,H32:H35)&lt;&gt;COUNT(H7:H16,H20:H25,H32:H35),"Text",IF(MIN(H7:H16,H20:H25,H32:H35)&lt;0,"Negative","")))</f>
      </c>
      <c r="I50" s="51" t="str">
        <f>IF(I$5="",IF(COUNTA(I7:I16,I20:I25,I32:I35)&gt;0,"Date",""),IF(COUNTA(I7:I16,I20:I25,I32:I35)&lt;&gt;COUNT(I7:I16,I20:I25,I32:I35),"Text",IF(MIN(I7:I16,I20:I25,I32:I35)&lt;0,"Negative","")))</f>
      </c>
      <c r="J50" s="51" t="str">
        <f>IF(J$5="",IF(COUNTA(J7:J16,J20:J25,J32:J35)&gt;0,"Date",""),IF(COUNTA(J7:J16,J20:J25,J32:J35)&lt;&gt;COUNT(J7:J16,J20:J25,J32:J35),"Text",IF(MIN(J7:J16,J20:J25,J32:J35)&lt;0,"Negative","")))</f>
      </c>
      <c r="K50" s="51" t="str">
        <f>IF(K$5="",IF(COUNTA(K7:K16,K20:K25,K32:K35)&gt;0,"Date",""),IF(COUNTA(K7:K16,K20:K25,K32:K35)&lt;&gt;COUNT(K7:K16,K20:K25,K32:K35),"Text",IF(MIN(K7:K16,K20:K25,K32:K35)&lt;0,"Negative","")))</f>
      </c>
      <c r="L50" s="51" t="str">
        <f>IF(L$5="",IF(COUNTA(L7:L16,L20:L25,L32:L35)&gt;0,"Date",""),IF(COUNTA(L7:L16,L20:L25,L32:L35)&lt;&gt;COUNT(L7:L16,L20:L25,L32:L35),"Text",IF(MIN(L7:L16,L20:L25,L32:L35)&lt;0,"Negative","")))</f>
      </c>
      <c r="M50" s="51" t="str">
        <f>IF(M$5="",IF(COUNTA(M7:M16,M20:M25,M32:M35)&gt;0,"Date",""),IF(COUNTA(M7:M16,M20:M25,M32:M35)&lt;&gt;COUNT(M7:M16,M20:M25,M32:M35),"Text",IF(MIN(M7:M16,M20:M25,M32:M35)&lt;0,"Negative","")))</f>
      </c>
      <c r="N50" s="51" t="str">
        <f>IF(N$5="",IF(COUNTA(N7:N16,N20:N25,N32:N35)&gt;0,"Date",""),IF(COUNTA(N7:N16,N20:N25,N32:N35)&lt;&gt;COUNT(N7:N16,N20:N25,N32:N35),"Text",IF(MIN(N7:N16,N20:N25,N32:N35)&lt;0,"Negative","")))</f>
      </c>
      <c r="O50" s="51" t="str">
        <f>IF(O$5="",IF(COUNTA(O7:O16,O20:O25,O32:O35)&gt;0,"Date",""),IF(COUNTA(O7:O16,O20:O25,O32:O35)&lt;&gt;COUNT(O7:O16,O20:O25,O32:O35),"Text",IF(MIN(O7:O16,O20:O25,O32:O35)&lt;0,"Negative","")))</f>
      </c>
      <c r="P50" s="51" t="str">
        <f>IF(P$5="",IF(COUNTA(P7:P16,P20:P25,P32:P35)&gt;0,"Date",""),IF(COUNTA(P7:P16,P20:P25,P32:P35)&lt;&gt;COUNT(P7:P16,P20:P25,P32:P35),"Text",IF(MIN(P7:P16,P20:P25,P32:P35)&lt;0,"Negative","")))</f>
      </c>
      <c r="Q50" s="51" t="str">
        <f>IF(Q$5="",IF(COUNTA(Q7:Q16,Q20:Q25,Q32:Q35)&gt;0,"Date",""),IF(COUNTA(Q7:Q16,Q20:Q25,Q32:Q35)&lt;&gt;COUNT(Q7:Q16,Q20:Q25,Q32:Q35),"Text",IF(MIN(Q7:Q16,Q20:Q25,Q32:Q35)&lt;0,"Negative","")))</f>
      </c>
      <c r="R50" s="51" t="str">
        <f>IF(R$5="",IF(COUNTA(R7:R16,R20:R25,R32:R35)&gt;0,"Date",""),IF(COUNTA(R7:R16,R20:R25,R32:R35)&lt;&gt;COUNT(R7:R16,R20:R25,R32:R35),"Text",IF(MIN(R7:R16,R20:R25,R32:R35)&lt;0,"Negative","")))</f>
      </c>
      <c r="S50" s="51" t="str">
        <f>IF(S$5="",IF(COUNTA(S7:S16,S20:S25,S32:S35)&gt;0,"Date",""),IF(COUNTA(S7:S16,S20:S25,S32:S35)&lt;&gt;COUNT(S7:S16,S20:S25,S32:S35),"Text",IF(MIN(S7:S16,S20:S25,S32:S35)&lt;0,"Negative","")))</f>
      </c>
      <c r="T50" s="51" t="str">
        <f>IF(T$5="",IF(COUNTA(T7:T16,T20:T25,T32:T35)&gt;0,"Date",""),IF(COUNTA(T7:T16,T20:T25,T32:T35)&lt;&gt;COUNT(T7:T16,T20:T25,T32:T35),"Text",IF(MIN(T7:T16,T20:T25,T32:T35)&lt;0,"Negative","")))</f>
      </c>
      <c r="U50" s="51" t="str">
        <f>IF(U$5="",IF(COUNTA(U7:U16,U20:U25,U32:U35)&gt;0,"Date",""),IF(COUNTA(U7:U16,U20:U25,U32:U35)&lt;&gt;COUNT(U7:U16,U20:U25,U32:U35),"Text",IF(MIN(U7:U16,U20:U25,U32:U35)&lt;0,"Negative","")))</f>
      </c>
      <c r="V50" s="51" t="str">
        <f>IF(V$5="",IF(COUNTA(V7:V16,V20:V25,V32:V35)&gt;0,"Date",""),IF(COUNTA(V7:V16,V20:V25,V32:V35)&lt;&gt;COUNT(V7:V16,V20:V25,V32:V35),"Text",IF(MIN(V7:V16,V20:V25,V32:V35)&lt;0,"Negative","")))</f>
      </c>
      <c r="W50" s="51" t="str">
        <f>IF(W$5="",IF(COUNTA(W7:W16,W20:W25,W32:W35)&gt;0,"Date",""),IF(COUNTA(W7:W16,W20:W25,W32:W35)&lt;&gt;COUNT(W7:W16,W20:W25,W32:W35),"Text",IF(MIN(W7:W16,W20:W25,W32:W35)&lt;0,"Negative","")))</f>
      </c>
      <c r="X50" s="51" t="str">
        <f>IF(X$5="",IF(COUNTA(X7:X16,X20:X25,X32:X35)&gt;0,"Date",""),IF(COUNTA(X7:X16,X20:X25,X32:X35)&lt;&gt;COUNT(X7:X16,X20:X25,X32:X35),"Text",IF(MIN(X7:X16,X20:X25,X32:X35)&lt;0,"Negative","")))</f>
      </c>
      <c r="Y50" s="51" t="str">
        <f>IF(Y$5="",IF(COUNTA(Y7:Y16,Y20:Y25,Y32:Y35)&gt;0,"Date",""),IF(COUNTA(Y7:Y16,Y20:Y25,Y32:Y35)&lt;&gt;COUNT(Y7:Y16,Y20:Y25,Y32:Y35),"Text",IF(MIN(Y7:Y16,Y20:Y25,Y32:Y35)&lt;0,"Negative","")))</f>
      </c>
      <c r="Z50" s="51" t="str">
        <f>IF(Z$5="",IF(COUNTA(Z7:Z16,Z20:Z25,Z32:Z35)&gt;0,"Date",""),IF(COUNTA(Z7:Z16,Z20:Z25,Z32:Z35)&lt;&gt;COUNT(Z7:Z16,Z20:Z25,Z32:Z35),"Text",IF(MIN(Z7:Z16,Z20:Z25,Z32:Z35)&lt;0,"Negative","")))</f>
      </c>
      <c r="AA50" s="51" t="str">
        <f>IF(AA$5="",IF(COUNTA(AA7:AA16,AA20:AA25,AA32:AA35)&gt;0,"Date",""),IF(COUNTA(AA7:AA16,AA20:AA25,AA32:AA35)&lt;&gt;COUNT(AA7:AA16,AA20:AA25,AA32:AA35),"Text",IF(MIN(AA7:AA16,AA20:AA25,AA32:AA35)&lt;0,"Negative","")))</f>
      </c>
      <c r="AB50" s="51" t="str">
        <f>IF(AB$5="",IF(COUNTA(AB7:AB16,AB20:AB25,AB32:AB35)&gt;0,"Date",""),IF(COUNTA(AB7:AB16,AB20:AB25,AB32:AB35)&lt;&gt;COUNT(AB7:AB16,AB20:AB25,AB32:AB35),"Text",IF(MIN(AB7:AB16,AB20:AB25,AB32:AB35)&lt;0,"Negative","")))</f>
      </c>
      <c r="AC50" s="51" t="str">
        <f>IF(AC$5="",IF(COUNTA(AC7:AC16,AC20:AC25,AC32:AC35)&gt;0,"Date",""),IF(COUNTA(AC7:AC16,AC20:AC25,AC32:AC35)&lt;&gt;COUNT(AC7:AC16,AC20:AC25,AC32:AC35),"Text",IF(MIN(AC7:AC16,AC20:AC25,AC32:AC35)&lt;0,"Negative","")))</f>
      </c>
      <c r="AD50" s="51" t="str">
        <f>IF(AD$5="",IF(COUNTA(AD7:AD16,AD20:AD25,AD32:AD35)&gt;0,"Date",""),IF(COUNTA(AD7:AD16,AD20:AD25,AD32:AD35)&lt;&gt;COUNT(AD7:AD16,AD20:AD25,AD32:AD35),"Text",IF(MIN(AD7:AD16,AD20:AD25,AD32:AD35)&lt;0,"Negative","")))</f>
      </c>
      <c r="AE50" s="51" t="str">
        <f>IF(AE$5="",IF(COUNTA(AE7:AE16,AE20:AE25,AE32:AE35)&gt;0,"Date",""),IF(COUNTA(AE7:AE16,AE20:AE25,AE32:AE35)&lt;&gt;COUNT(AE7:AE16,AE20:AE25,AE32:AE35),"Text",IF(MIN(AE7:AE16,AE20:AE25,AE32:AE35)&lt;0,"Negative","")))</f>
      </c>
      <c r="AF50" s="51" t="str">
        <f>IF(AF$5="",IF(COUNTA(AF7:AF16,AF20:AF25,AF32:AF35)&gt;0,"Date",""),IF(COUNTA(AF7:AF16,AF20:AF25,AF32:AF35)&lt;&gt;COUNT(AF7:AF16,AF20:AF25,AF32:AF35),"Text",IF(MIN(AF7:AF16,AF20:AF25,AF32:AF35)&lt;0,"Negative","")))</f>
      </c>
      <c r="AG50" s="51" t="str">
        <f>IF(AG$5="",IF(COUNTA(AG7:AG16,AG20:AG25,AG32:AG35)&gt;0,"Date",""),IF(COUNTA(AG7:AG16,AG20:AG25,AG32:AG35)&lt;&gt;COUNT(AG7:AG16,AG20:AG25,AG32:AG35),"Text",IF(MIN(AG7:AG16,AG20:AG25,AG32:AG35)&lt;0,"Negative","")))</f>
      </c>
      <c r="AH50" s="3"/>
      <c r="AI50" s="55"/>
    </row>
    <row r="51" ht="23" customHeight="1">
      <c r="A51" s="3"/>
      <c r="B51" s="3" t="str">
        <f>IF(OR(NOT(ISNUMBER('Billable summary'!$C$4)),'Billable summary'!$C$4&lt;2000,'Billable summary'!$C$4&gt;2100,MOD('Billable summary'!$C$4,1)&lt;&gt;0),"Check year",IF(OR(NOT(ISNUMBER('Billable summary'!$N$4)),'Billable summary'!$N$4&lt;=0,'Billable summary'!$N$4&gt;1,NOT(ISNUMBER('Billable summary'!$C$5)),'Billable summary'!$C$5&lt;=0,'Billable summary'!$C$5&gt;24),"Check settings",IF(AND(C2&lt;&gt;"Not started",C2&lt;&gt;"Actual",C2&lt;&gt;"Forecast"),"Check month status",IF(COUNTIFS(C50:AG50,"Date")&gt;0,"Check dates outside month",IF(COUNTIFS(C50:AG50,"Text")+COUNTIFS(C50:AG50,"Negative")&gt;0,"Check hour entries",IF(NOT(ISNUMBER(I41)),"Check capacity",IF(AND(I41=0,U40&gt;0),"Check zero capacity","OK")))))))</f>
        <v>OK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55"/>
    </row>
    <row r="52" ht="2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55"/>
    </row>
    <row r="53" ht="23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55"/>
    </row>
  </sheetData>
  <mergeCells>
    <mergeCell ref="C2:F2"/>
    <mergeCell ref="H2:R2"/>
    <mergeCell ref="T2:AH2"/>
    <mergeCell ref="B3:AH3"/>
    <mergeCell ref="B4:AH4"/>
    <mergeCell ref="B38:H38"/>
    <mergeCell ref="I38:K38"/>
    <mergeCell ref="B39:H39"/>
    <mergeCell ref="I39:K39"/>
    <mergeCell ref="B40:H40"/>
    <mergeCell ref="I40:K40"/>
    <mergeCell ref="B41:H41"/>
    <mergeCell ref="I41:K41"/>
    <mergeCell ref="B42:H42"/>
    <mergeCell ref="I42:K42"/>
    <mergeCell ref="B43:H43"/>
    <mergeCell ref="I43:K43"/>
    <mergeCell ref="B44:H44"/>
    <mergeCell ref="I44:K44"/>
    <mergeCell ref="B45:H45"/>
    <mergeCell ref="I45:K45"/>
    <mergeCell ref="M38:T38"/>
    <mergeCell ref="U38:W38"/>
    <mergeCell ref="M39:T39"/>
    <mergeCell ref="U39:W39"/>
    <mergeCell ref="M40:T40"/>
    <mergeCell ref="U40:W40"/>
    <mergeCell ref="M41:T41"/>
    <mergeCell ref="U41:W41"/>
    <mergeCell ref="M42:T42"/>
    <mergeCell ref="U42:W42"/>
    <mergeCell ref="M43:T43"/>
    <mergeCell ref="U43:W43"/>
    <mergeCell ref="M44:T44"/>
    <mergeCell ref="U44:W44"/>
    <mergeCell ref="M45:T45"/>
    <mergeCell ref="U45:W45"/>
    <mergeCell ref="M46:T46"/>
    <mergeCell ref="U46:W46"/>
    <mergeCell ref="B47:AH47"/>
    <mergeCell ref="B48:AH48"/>
    <mergeCell ref="B49:AH49"/>
    <mergeCell ref="B51:AH51"/>
  </mergeCells>
  <conditionalFormatting sqref="C7:AG16">
    <cfRule type="expression" dxfId="184" priority="1">
      <formula>OR(C$5="",WEEKDAY(C$5,2)&gt;5)</formula>
    </cfRule>
    <cfRule type="expression" dxfId="185" priority="2">
      <formula>AND(C$5="",NOT(ISBLANK(C7)))</formula>
    </cfRule>
  </conditionalFormatting>
  <conditionalFormatting sqref="C20:AG25">
    <cfRule type="expression" dxfId="186" priority="3">
      <formula>OR(C$5="",WEEKDAY(C$5,2)&gt;5)</formula>
    </cfRule>
    <cfRule type="expression" dxfId="187" priority="4">
      <formula>AND(C$5="",NOT(ISBLANK(C20)))</formula>
    </cfRule>
  </conditionalFormatting>
  <conditionalFormatting sqref="C32:AG35">
    <cfRule type="expression" dxfId="188" priority="5">
      <formula>OR(C$5="",WEEKDAY(C$5,2)&gt;5)</formula>
    </cfRule>
    <cfRule type="expression" dxfId="189" priority="6">
      <formula>AND(C$5="",NOT(ISBLANK(C32)))</formula>
    </cfRule>
  </conditionalFormatting>
  <conditionalFormatting sqref="I43:K43">
    <cfRule type="expression" dxfId="190" priority="7">
      <formula>AND(ISNUMBER($I$43),$I$43&gt;=$I$44)</formula>
    </cfRule>
    <cfRule type="expression" dxfId="191" priority="8">
      <formula>AND(ISNUMBER($I$43),$I$43&lt;$I$44)</formula>
    </cfRule>
  </conditionalFormatting>
  <conditionalFormatting sqref="B51:AH51">
    <cfRule type="containsText" dxfId="192" priority="9" operator="containsText" text="Check"/>
    <cfRule type="containsText" dxfId="193" priority="10" operator="containsText" text="Invalid"/>
    <cfRule type="containsText" dxfId="194" priority="11" operator="containsText" text="Negative"/>
    <cfRule type="containsText" dxfId="195" priority="12" operator="containsText" text="Outside"/>
  </conditionalFormatting>
  <dataValidations count="5">
    <dataValidation type="list" sqref="C2">
      <formula1>"Not started,Forecast,Actual"</formula1>
    </dataValidation>
    <dataValidation type="decimal" operator="between" sqref="C7:AG16">
      <formula1>0</formula1>
      <formula2>744</formula2>
    </dataValidation>
    <dataValidation type="decimal" operator="between" sqref="C20:AG25">
      <formula1>0</formula1>
      <formula2>744</formula2>
    </dataValidation>
    <dataValidation type="decimal" operator="between" sqref="C32:AG35">
      <formula1>0</formula1>
      <formula2>744</formula2>
    </dataValidation>
    <dataValidation type="decimal" operator="between" sqref="I38:I40">
      <formula1>0</formula1>
      <formula2>31</formula2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2" max="2" width="38" hidden="0" customWidth="1"/>
    <col min="3" max="3" width="60" hidden="0" customWidth="1"/>
    <col min="4" max="4" width="24" hidden="0" customWidth="1"/>
    <col min="5" max="5" width="3" hidden="0" customWidth="1"/>
  </cols>
  <sheetData>
    <row r="1" ht="23" customHeight="1">
      <c r="A1" s="55"/>
      <c r="B1" s="3"/>
      <c r="C1" s="3"/>
      <c r="D1" s="3"/>
      <c r="E1" s="55"/>
    </row>
    <row r="2" ht="34" customHeight="1">
      <c r="A2" s="55"/>
      <c r="B2" s="4" t="str">
        <v>Project resources</v>
      </c>
      <c r="C2" s="4"/>
      <c r="D2" s="4"/>
      <c r="E2" s="55"/>
    </row>
    <row r="3" ht="23" customHeight="1">
      <c r="A3" s="55"/>
      <c r="B3" s="3"/>
      <c r="C3" s="3"/>
      <c r="D3" s="3"/>
      <c r="E3" s="55"/>
    </row>
    <row r="4" ht="23" customHeight="1">
      <c r="A4" s="55"/>
      <c r="B4" s="3"/>
      <c r="C4" s="3"/>
      <c r="D4" s="3"/>
      <c r="E4" s="55"/>
    </row>
    <row r="5" ht="28" customHeight="1">
      <c r="A5" s="55"/>
      <c r="B5" s="238" t="str">
        <v>Resource</v>
      </c>
      <c r="C5" s="238" t="str">
        <v>Use it to</v>
      </c>
      <c r="D5" s="238" t="str">
        <v>Website</v>
      </c>
      <c r="E5" s="55"/>
    </row>
    <row r="6" ht="23" customHeight="1">
      <c r="A6" s="55"/>
      <c r="B6" s="67"/>
      <c r="C6" s="67"/>
      <c r="D6" s="67"/>
      <c r="E6" s="55"/>
    </row>
    <row r="7" ht="36" customHeight="1">
      <c r="A7" s="55"/>
      <c r="B7" s="239" t="str">
        <f>HYPERLINK("https://www.stakeholdermap.com/project-templates/project-management-templates.php","Project management templates")</f>
        <v>Project management templates</v>
      </c>
      <c r="C7" s="240" t="str">
        <v>Find related planning and reporting templates.</v>
      </c>
      <c r="D7" s="240" t="str">
        <v>stakeholdermap.com</v>
      </c>
      <c r="E7" s="55"/>
    </row>
    <row r="8" ht="23" customHeight="1">
      <c r="A8" s="55"/>
      <c r="B8" s="67"/>
      <c r="C8" s="67"/>
      <c r="D8" s="67"/>
      <c r="E8" s="55"/>
    </row>
    <row r="9" ht="36" customHeight="1">
      <c r="A9" s="55"/>
      <c r="B9" s="239" t="str">
        <f>HYPERLINK("https://www.stakeholdermap.com/project-templates/activity-attributes-template.php","Activity attributes template")</f>
        <v>Activity attributes template</v>
      </c>
      <c r="C9" s="240" t="str">
        <v>Record the resources needed for each activity.</v>
      </c>
      <c r="D9" s="240" t="str">
        <v>stakeholdermap.com</v>
      </c>
      <c r="E9" s="55"/>
    </row>
    <row r="10" ht="23" customHeight="1">
      <c r="A10" s="55"/>
      <c r="B10" s="67"/>
      <c r="C10" s="67"/>
      <c r="D10" s="67"/>
      <c r="E10" s="55"/>
    </row>
    <row r="11" ht="36" customHeight="1">
      <c r="A11" s="55"/>
      <c r="B11" s="239" t="str">
        <f>HYPERLINK("https://www.stakeholdermap.com/project-templates/activity-list-template.php","Activity list template")</f>
        <v>Activity list template</v>
      </c>
      <c r="C11" s="240" t="str">
        <v>List the work that needs to be delivered.</v>
      </c>
      <c r="D11" s="240" t="str">
        <v>stakeholdermap.com</v>
      </c>
      <c r="E11" s="55"/>
    </row>
    <row r="12" ht="23" customHeight="1">
      <c r="A12" s="55"/>
      <c r="B12" s="67"/>
      <c r="C12" s="67"/>
      <c r="D12" s="67"/>
      <c r="E12" s="55"/>
    </row>
    <row r="13" ht="36" customHeight="1">
      <c r="A13" s="55"/>
      <c r="B13" s="239" t="str">
        <f>HYPERLINK("https://www.stakeholdermap.com/project-templates/project-status-report-excel.php","Project status report")</f>
        <v>Project status report</v>
      </c>
      <c r="C13" s="240" t="str">
        <v>Report delivery progress alongside utilisation.</v>
      </c>
      <c r="D13" s="240" t="str">
        <v>stakeholdermap.com</v>
      </c>
      <c r="E13" s="55"/>
    </row>
    <row r="14" ht="23" customHeight="1">
      <c r="A14" s="55"/>
      <c r="B14" s="67"/>
      <c r="C14" s="67"/>
      <c r="D14" s="67"/>
      <c r="E14" s="55"/>
    </row>
    <row r="15" ht="36" customHeight="1">
      <c r="A15" s="55"/>
      <c r="B15" s="239" t="str">
        <f>HYPERLINK("https://www.stakeholdermap.com/project-templates/wbs-dictionary.php","WBS dictionary template")</f>
        <v>WBS dictionary template</v>
      </c>
      <c r="C15" s="240" t="str">
        <v>Define project deliverables and responsibilities.</v>
      </c>
      <c r="D15" s="240" t="str">
        <v>stakeholdermap.com</v>
      </c>
      <c r="E15" s="55"/>
    </row>
    <row r="16" ht="23" customHeight="1">
      <c r="A16" s="55"/>
      <c r="B16" s="67"/>
      <c r="C16" s="67"/>
      <c r="D16" s="67"/>
      <c r="E16" s="55"/>
    </row>
    <row r="17" ht="23" customHeight="1">
      <c r="A17" s="55"/>
      <c r="B17" s="67"/>
      <c r="C17" s="67"/>
      <c r="D17" s="67"/>
      <c r="E17" s="55"/>
    </row>
    <row r="18" ht="40" customHeight="1">
      <c r="A18" s="55"/>
      <c r="B18" s="198" t="str">
        <v>Template structure based on Tracker 0911.xlsx. Original customer names, booked hours and historic holiday markings have been cleared.</v>
      </c>
      <c r="C18" s="198"/>
      <c r="D18" s="198"/>
      <c r="E18" s="55"/>
    </row>
    <row r="19" ht="23" customHeight="1">
      <c r="A19" s="55"/>
      <c r="B19" s="53"/>
      <c r="C19" s="53"/>
      <c r="D19" s="53"/>
      <c r="E19" s="55"/>
    </row>
    <row r="20" ht="23" customHeight="1">
      <c r="A20" s="55"/>
      <c r="B20" s="3"/>
      <c r="C20" s="3"/>
      <c r="D20" s="3"/>
      <c r="E20" s="55"/>
    </row>
  </sheetData>
  <mergeCells>
    <mergeCell ref="B2:D2"/>
    <mergeCell ref="B18:D18"/>
  </mergeCells>
  <pageMargins left="0.7" right="0.7" top="0.75" bottom="0.75" header="0.3" footer="0.3"/>
</worksheet>
</file>