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e234061864f1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illable summary" sheetId="1" ns1:id="Rfc86788bb6f946b4"/>
    <sheet name="MBO summary" sheetId="2" ns1:id="R4b3715e0e3a246c2"/>
    <sheet name="Jan" sheetId="3" ns1:id="R78ac9b4494344b5f"/>
    <sheet name="Feb" sheetId="4" ns1:id="Rea63f2b94f834216"/>
    <sheet name="Mar" sheetId="5" ns1:id="Rf5a92da2eea24d28"/>
    <sheet name="Apr" sheetId="6" ns1:id="Rc6aef6898e6a47d5"/>
    <sheet name="May" sheetId="7" ns1:id="R022b6fbc6df24b53"/>
    <sheet name="Jun" sheetId="8" ns1:id="R8ed68c9fdc1145ab"/>
    <sheet name="Jul" sheetId="9" ns1:id="R9d3145b80564443e"/>
    <sheet name="Aug" sheetId="10" ns1:id="R1be6473fbd504f89"/>
    <sheet name="Sep" sheetId="11" ns1:id="Rb99bd5a191da4720"/>
    <sheet name="Oct" sheetId="12" ns1:id="Re714e445d13f48f2"/>
    <sheet name="Nov" sheetId="13" ns1:id="Ra5116e28440d41c1"/>
    <sheet name="Dec" sheetId="14" ns1:id="R12b09f78a4bc4def"/>
    <sheet name="Resources" sheetId="15" ns1:id="R478cb6175a2343ef"/>
  </sheet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0%"/>
    <numFmt numFmtId="201" formatCode="0.0"/>
    <numFmt numFmtId="202" formatCode="0.0%"/>
    <numFmt numFmtId="203" formatCode="ddd"/>
    <numFmt numFmtId="204" formatCode="d"/>
    <numFmt numFmtId="205" formatCode="0.0;[Red](0.0);–"/>
  </numFmts>
  <fonts count="8">
    <font>
      <sz val="11"/>
      <name val="Carlito"/>
    </font>
    <font>
      <sz val="10"/>
      <color rgb="FF20253F"/>
      <name val="Arial"/>
    </font>
    <font>
      <b/>
      <sz val="16"/>
      <color rgb="FF006053"/>
      <name val="Arial"/>
    </font>
    <font>
      <b/>
      <sz val="10"/>
      <color rgb="FFFFFFFF"/>
      <name val="Arial"/>
    </font>
    <font>
      <b/>
      <sz val="10"/>
      <color rgb="FF20253F"/>
      <name val="Arial"/>
    </font>
    <font>
      <sz val="10"/>
      <color rgb="FF646A79"/>
      <name val="Arial"/>
    </font>
    <font>
      <sz val="9"/>
      <color rgb="FF20253F"/>
      <name val="Arial"/>
    </font>
    <font>
      <b/>
      <sz val="10"/>
      <color rgb="FF006053"/>
      <name val="Arial"/>
    </font>
  </fonts>
  <fills count="8">
    <fill>
      <patternFill patternType="none"/>
    </fill>
    <fill>
      <patternFill patternType="gray125"/>
    </fill>
    <fill>
      <patternFill patternType="solid">
        <fgColor rgb="FFF5F6F7"/>
      </patternFill>
    </fill>
    <fill>
      <patternFill patternType="solid">
        <fgColor rgb="FFFFF2CE"/>
      </patternFill>
    </fill>
    <fill>
      <patternFill patternType="solid">
        <fgColor rgb="FF006053"/>
      </patternFill>
    </fill>
    <fill>
      <patternFill patternType="solid">
        <fgColor rgb="FFFFFFFF"/>
      </patternFill>
    </fill>
    <fill>
      <patternFill patternType="solid">
        <fgColor rgb="FFD8EFE4"/>
      </patternFill>
    </fill>
    <fill>
      <patternFill patternType="solid">
        <fgColor rgb="FFF5F6F8"/>
      </patternFill>
    </fill>
  </fills>
  <borders count="42">
    <border>
      <left/>
      <right/>
      <top/>
      <bottom/>
      <diagonal/>
    </border>
    <border>
      <left/>
      <right/>
      <top/>
      <bottom style="hair">
        <color rgb="FFD8DDE2"/>
      </bottom>
      <diagonal/>
    </border>
    <border>
      <left/>
      <right/>
      <top style="hair">
        <color rgb="FFD8DDE2"/>
      </top>
      <bottom style="hair">
        <color rgb="FFD8DDE2"/>
      </bottom>
      <diagonal/>
    </border>
    <border>
      <left/>
      <right/>
      <top style="hair">
        <color rgb="FFD8DDE2"/>
      </top>
      <bottom/>
      <diagonal/>
    </border>
    <border>
      <left style="thin">
        <color rgb="FFC7CED6"/>
      </left>
      <right style="thin">
        <color rgb="FFC7CED6"/>
      </right>
      <top style="thin">
        <color rgb="FFC7CED6"/>
      </top>
      <bottom style="thin">
        <color rgb="FFC7CED6"/>
      </bottom>
      <diagonal/>
    </border>
    <border>
      <left style="thin">
        <color rgb="FFC7CED6"/>
      </left>
      <right style="thin">
        <color rgb="FFB8D7D0"/>
      </right>
      <top style="thin">
        <color rgb="FFC7CED6"/>
      </top>
      <bottom style="thin">
        <color rgb="FF879BA5"/>
      </bottom>
      <diagonal/>
    </border>
    <border>
      <left style="thin">
        <color rgb="FFB8D7D0"/>
      </left>
      <right style="thin">
        <color rgb="FFB8D7D0"/>
      </right>
      <top style="thin">
        <color rgb="FFC7CED6"/>
      </top>
      <bottom style="thin">
        <color rgb="FF879BA5"/>
      </bottom>
      <diagonal/>
    </border>
    <border>
      <left style="thin">
        <color rgb="FFB8D7D0"/>
      </left>
      <right style="thin">
        <color rgb="FFC7CED6"/>
      </right>
      <top style="thin">
        <color rgb="FFC7CED6"/>
      </top>
      <bottom style="thin">
        <color rgb="FF879BA5"/>
      </bottom>
      <diagonal/>
    </border>
    <border>
      <left style="thin">
        <color rgb="FFC7CED6"/>
      </left>
      <right style="thin">
        <color rgb="FFC7CED6"/>
      </right>
      <top style="thin">
        <color rgb="FF879BA5"/>
      </top>
      <bottom style="thin">
        <color rgb="FF879BA5"/>
      </bottom>
      <diagonal/>
    </border>
    <border>
      <left style="thin">
        <color rgb="FF879BA5"/>
      </left>
      <right/>
      <top style="thin">
        <color rgb="FF879BA5"/>
      </top>
      <bottom/>
      <diagonal/>
    </border>
    <border>
      <left/>
      <right/>
      <top style="thin">
        <color rgb="FF879BA5"/>
      </top>
      <bottom/>
      <diagonal/>
    </border>
    <border>
      <left/>
      <right style="thin">
        <color rgb="FF879BA5"/>
      </right>
      <top style="thin">
        <color rgb="FF879BA5"/>
      </top>
      <bottom/>
      <diagonal/>
    </border>
    <border>
      <left style="thin">
        <color rgb="FF879BA5"/>
      </left>
      <right/>
      <top/>
      <bottom/>
      <diagonal/>
    </border>
    <border>
      <left/>
      <right style="thin">
        <color rgb="FF879BA5"/>
      </right>
      <top/>
      <bottom/>
      <diagonal/>
    </border>
    <border>
      <left style="thin">
        <color rgb="FF879BA5"/>
      </left>
      <right/>
      <top/>
      <bottom style="thin">
        <color rgb="FF879BA5"/>
      </bottom>
      <diagonal/>
    </border>
    <border>
      <left/>
      <right/>
      <top/>
      <bottom style="thin">
        <color rgb="FF879BA5"/>
      </bottom>
      <diagonal/>
    </border>
    <border>
      <left/>
      <right style="thin">
        <color rgb="FF879BA5"/>
      </right>
      <top/>
      <bottom style="thin">
        <color rgb="FF879BA5"/>
      </bottom>
      <diagonal/>
    </border>
    <border>
      <left style="thin">
        <color rgb="FF879BA5"/>
      </left>
      <right/>
      <top style="thin">
        <color rgb="FF879BA5"/>
      </top>
      <bottom style="thin">
        <color rgb="FFB8D7D0"/>
      </bottom>
      <diagonal/>
    </border>
    <border>
      <left/>
      <right/>
      <top style="thin">
        <color rgb="FF879BA5"/>
      </top>
      <bottom style="thin">
        <color rgb="FFB8D7D0"/>
      </bottom>
      <diagonal/>
    </border>
    <border>
      <left/>
      <right style="thin">
        <color rgb="FF879BA5"/>
      </right>
      <top style="thin">
        <color rgb="FF879BA5"/>
      </top>
      <bottom style="thin">
        <color rgb="FFB8D7D0"/>
      </bottom>
      <diagonal/>
    </border>
    <border>
      <left style="thin">
        <color rgb="FF879BA5"/>
      </left>
      <right/>
      <top/>
      <bottom style="thin">
        <color rgb="FFC7CED6"/>
      </bottom>
      <diagonal/>
    </border>
    <border>
      <left/>
      <right/>
      <top/>
      <bottom style="thin">
        <color rgb="FFC7CED6"/>
      </bottom>
      <diagonal/>
    </border>
    <border>
      <left/>
      <right style="thin">
        <color rgb="FF879BA5"/>
      </right>
      <top/>
      <bottom style="thin">
        <color rgb="FFC7CED6"/>
      </bottom>
      <diagonal/>
    </border>
    <border>
      <left style="thin">
        <color rgb="FF879BA5"/>
      </left>
      <right style="thin">
        <color rgb="FF879BA5"/>
      </right>
      <top style="thin">
        <color rgb="FF879BA5"/>
      </top>
      <bottom/>
      <diagonal/>
    </border>
    <border>
      <left style="thin">
        <color rgb="FF879BA5"/>
      </left>
      <right style="thin">
        <color rgb="FF879BA5"/>
      </right>
      <top/>
      <bottom/>
      <diagonal/>
    </border>
    <border>
      <left style="thin">
        <color rgb="FF879BA5"/>
      </left>
      <right style="thin">
        <color rgb="FF879BA5"/>
      </right>
      <top/>
      <bottom style="thin">
        <color rgb="FF879BA5"/>
      </bottom>
      <diagonal/>
    </border>
    <border>
      <left style="thin">
        <color rgb="FF879BA5"/>
      </left>
      <right style="thin">
        <color rgb="FF879BA5"/>
      </right>
      <top style="thin">
        <color rgb="FF879BA5"/>
      </top>
      <bottom style="thin">
        <color rgb="FFB8D7D0"/>
      </bottom>
      <diagonal/>
    </border>
    <border>
      <left style="thin">
        <color rgb="FF879BA5"/>
      </left>
      <right style="thin">
        <color rgb="FF879BA5"/>
      </right>
      <top/>
      <bottom style="thin">
        <color rgb="FFC7CED6"/>
      </bottom>
      <diagonal/>
    </border>
    <border>
      <left/>
      <right/>
      <top style="thin">
        <color rgb="FFC7CED6"/>
      </top>
      <bottom style="thin">
        <color rgb="FFC7CED6"/>
      </bottom>
      <diagonal/>
    </border>
    <border>
      <left/>
      <right/>
      <top style="thin">
        <color rgb="FFC7CED6"/>
      </top>
      <bottom/>
      <diagonal/>
    </border>
    <border>
      <left style="thin">
        <color rgb="FF879BA5"/>
      </left>
      <right style="thin">
        <color rgb="FF879BA5"/>
      </right>
      <top style="thin">
        <color rgb="FF879BA5"/>
      </top>
      <bottom style="thin">
        <color rgb="FF879BA5"/>
      </bottom>
      <diagonal/>
    </border>
    <border>
      <left style="thin">
        <color rgb="FF879BA5"/>
      </left>
      <right/>
      <top style="thin">
        <color rgb="FF879BA5"/>
      </top>
      <bottom style="thin">
        <color rgb="FF879BA5"/>
      </bottom>
      <diagonal/>
    </border>
    <border>
      <left/>
      <right/>
      <top style="thin">
        <color rgb="FF879BA5"/>
      </top>
      <bottom style="thin">
        <color rgb="FF879BA5"/>
      </bottom>
      <diagonal/>
    </border>
    <border>
      <left/>
      <right style="thin">
        <color rgb="FF879BA5"/>
      </right>
      <top style="thin">
        <color rgb="FF879BA5"/>
      </top>
      <bottom style="thin">
        <color rgb="FF879BA5"/>
      </bottom>
      <diagonal/>
    </border>
    <border>
      <left style="thin">
        <color rgb="FFC7CED6"/>
      </left>
      <right style="thin">
        <color rgb="FF879BA5"/>
      </right>
      <top style="thin">
        <color rgb="FFC7CED6"/>
      </top>
      <bottom style="thin">
        <color rgb="FFC7CED6"/>
      </bottom>
      <diagonal/>
    </border>
    <border>
      <left style="thin">
        <color rgb="FF879BA5"/>
      </left>
      <right style="thin">
        <color rgb="FFC7CED6"/>
      </right>
      <top style="thin">
        <color rgb="FFC7CED6"/>
      </top>
      <bottom style="thin">
        <color rgb="FFC7CED6"/>
      </bottom>
      <diagonal/>
    </border>
    <border>
      <left style="thin">
        <color rgb="FFB8D7D0"/>
      </left>
      <right style="thin">
        <color rgb="FFB8D7D0"/>
      </right>
      <top style="thin">
        <color rgb="FFB8D7D0"/>
      </top>
      <bottom style="thin">
        <color rgb="FFB8D7D0"/>
      </bottom>
      <diagonal/>
    </border>
    <border>
      <left/>
      <right style="thin">
        <color rgb="FFC7CED6"/>
      </right>
      <top style="thin">
        <color rgb="FF879BA5"/>
      </top>
      <bottom style="thin">
        <color rgb="FF879BA5"/>
      </bottom>
      <diagonal/>
    </border>
    <border>
      <left style="thin">
        <color rgb="FFC7CED6"/>
      </left>
      <right/>
      <top style="thin">
        <color rgb="FF879BA5"/>
      </top>
      <bottom style="thin">
        <color rgb="FF879BA5"/>
      </bottom>
      <diagonal/>
    </border>
    <border>
      <left style="thin">
        <color rgb="FF879BA5"/>
      </left>
      <right/>
      <top style="thin">
        <color rgb="FF879BA5"/>
      </top>
      <bottom style="thin">
        <color rgb="FFC7CED6"/>
      </bottom>
      <diagonal/>
    </border>
    <border>
      <left/>
      <right/>
      <top style="thin">
        <color rgb="FF879BA5"/>
      </top>
      <bottom style="thin">
        <color rgb="FFC7CED6"/>
      </bottom>
      <diagonal/>
    </border>
    <border>
      <left/>
      <right style="thin">
        <color rgb="FF879BA5"/>
      </right>
      <top style="thin">
        <color rgb="FF879BA5"/>
      </top>
      <bottom style="thin">
        <color rgb="FFC7CED6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horizontal="center" vertical="center"/>
    </xf>
    <xf numFmtId="201" fontId="1" fillId="5" borderId="0" xfId="0" applyNumberFormat="1" applyFont="1" applyFill="1" applyBorder="1" applyAlignment="1">
      <alignment horizontal="center" vertical="center"/>
    </xf>
    <xf numFmtId="202" fontId="1" fillId="5" borderId="0" xfId="0" applyNumberFormat="1" applyFont="1" applyFill="1" applyBorder="1" applyAlignment="1">
      <alignment horizontal="center" vertical="center"/>
    </xf>
    <xf numFmtId="0" fontId="1" fillId="5" borderId="0" xfId="0" applyNumberFormat="1" applyFont="1" applyFill="1" applyBorder="1" applyAlignment="1">
      <alignment horizontal="center" vertical="center" wrapText="1"/>
    </xf>
    <xf numFmtId="201" fontId="1" fillId="5" borderId="0" xfId="0" applyNumberFormat="1" applyFont="1" applyFill="1" applyBorder="1" applyAlignment="1">
      <alignment vertical="center"/>
    </xf>
    <xf numFmtId="202" fontId="1" fillId="5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 wrapText="1"/>
    </xf>
    <xf numFmtId="201" fontId="1" fillId="5" borderId="0" xfId="0" applyNumberFormat="1" applyFont="1" applyFill="1" applyBorder="1" applyAlignment="1">
      <alignment horizontal="center" vertical="center" wrapText="1"/>
    </xf>
    <xf numFmtId="202" fontId="1" fillId="5" borderId="0" xfId="0" applyNumberFormat="1" applyFont="1" applyFill="1" applyBorder="1" applyAlignment="1">
      <alignment horizontal="center" vertical="center" wrapText="1"/>
    </xf>
    <xf numFmtId="200" fontId="1" fillId="2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vertical="center"/>
    </xf>
    <xf numFmtId="204" fontId="1" fillId="2" borderId="0" xfId="0" applyNumberFormat="1" applyFont="1" applyFill="1" applyBorder="1" applyAlignment="1">
      <alignment vertical="center"/>
    </xf>
    <xf numFmtId="204" fontId="1" fillId="4" borderId="0" xfId="0" applyNumberFormat="1" applyFont="1" applyFill="1" applyBorder="1" applyAlignment="1">
      <alignment vertical="center"/>
    </xf>
    <xf numFmtId="204" fontId="3" fillId="4" borderId="0" xfId="0" applyNumberFormat="1" applyFont="1" applyFill="1" applyBorder="1" applyAlignment="1">
      <alignment vertical="center"/>
    </xf>
    <xf numFmtId="205" fontId="1" fillId="3" borderId="0" xfId="0" applyNumberFormat="1" applyFont="1" applyFill="1" applyBorder="1" applyAlignment="1">
      <alignment vertical="center"/>
    </xf>
    <xf numFmtId="205" fontId="1" fillId="2" borderId="0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/>
    </xf>
    <xf numFmtId="205" fontId="1" fillId="3" borderId="1" xfId="0" applyNumberFormat="1" applyFont="1" applyFill="1" applyBorder="1" applyAlignment="1">
      <alignment vertical="center"/>
    </xf>
    <xf numFmtId="205" fontId="1" fillId="2" borderId="1" xfId="0" applyNumberFormat="1" applyFont="1" applyFill="1" applyBorder="1" applyAlignment="1">
      <alignment vertical="center"/>
    </xf>
    <xf numFmtId="0" fontId="1" fillId="3" borderId="2" xfId="0" applyNumberFormat="1" applyFont="1" applyFill="1" applyBorder="1" applyAlignment="1">
      <alignment vertical="center"/>
    </xf>
    <xf numFmtId="205" fontId="1" fillId="3" borderId="2" xfId="0" applyNumberFormat="1" applyFont="1" applyFill="1" applyBorder="1" applyAlignment="1">
      <alignment vertical="center"/>
    </xf>
    <xf numFmtId="205" fontId="1" fillId="2" borderId="2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vertical="center"/>
    </xf>
    <xf numFmtId="205" fontId="1" fillId="3" borderId="3" xfId="0" applyNumberFormat="1" applyFont="1" applyFill="1" applyBorder="1" applyAlignment="1">
      <alignment vertical="center"/>
    </xf>
    <xf numFmtId="205" fontId="1" fillId="2" borderId="3" xfId="0" applyNumberFormat="1" applyFont="1" applyFill="1" applyBorder="1" applyAlignment="1">
      <alignment vertical="center"/>
    </xf>
    <xf numFmtId="0" fontId="1" fillId="6" borderId="0" xfId="0" applyNumberFormat="1" applyFont="1" applyFill="1" applyBorder="1" applyAlignment="1">
      <alignment vertical="center"/>
    </xf>
    <xf numFmtId="0" fontId="4" fillId="6" borderId="0" xfId="0" applyNumberFormat="1" applyFont="1" applyFill="1" applyBorder="1" applyAlignment="1">
      <alignment vertical="center"/>
    </xf>
    <xf numFmtId="205" fontId="4" fillId="6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horizontal="center" vertical="center"/>
    </xf>
    <xf numFmtId="204" fontId="3" fillId="4" borderId="0" xfId="0" applyNumberFormat="1" applyFont="1" applyFill="1" applyBorder="1" applyAlignment="1">
      <alignment horizontal="center" vertical="center"/>
    </xf>
    <xf numFmtId="205" fontId="1" fillId="3" borderId="1" xfId="0" applyNumberFormat="1" applyFont="1" applyFill="1" applyBorder="1" applyAlignment="1">
      <alignment horizontal="center" vertical="center"/>
    </xf>
    <xf numFmtId="205" fontId="1" fillId="3" borderId="2" xfId="0" applyNumberFormat="1" applyFont="1" applyFill="1" applyBorder="1" applyAlignment="1">
      <alignment horizontal="center" vertical="center"/>
    </xf>
    <xf numFmtId="205" fontId="1" fillId="3" borderId="3" xfId="0" applyNumberFormat="1" applyFont="1" applyFill="1" applyBorder="1" applyAlignment="1">
      <alignment horizontal="center" vertical="center"/>
    </xf>
    <xf numFmtId="205" fontId="4" fillId="6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205" fontId="1" fillId="5" borderId="1" xfId="0" applyNumberFormat="1" applyFont="1" applyFill="1" applyBorder="1" applyAlignment="1">
      <alignment vertical="center"/>
    </xf>
    <xf numFmtId="205" fontId="1" fillId="5" borderId="2" xfId="0" applyNumberFormat="1" applyFont="1" applyFill="1" applyBorder="1" applyAlignment="1">
      <alignment vertical="center"/>
    </xf>
    <xf numFmtId="205" fontId="1" fillId="5" borderId="3" xfId="0" applyNumberFormat="1" applyFont="1" applyFill="1" applyBorder="1" applyAlignment="1">
      <alignment vertical="center"/>
    </xf>
    <xf numFmtId="203" fontId="5" fillId="2" borderId="0" xfId="0" applyNumberFormat="1" applyFont="1" applyFill="1" applyBorder="1" applyAlignment="1">
      <alignment horizontal="center" vertical="center"/>
    </xf>
    <xf numFmtId="201" fontId="1" fillId="3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/>
    </xf>
    <xf numFmtId="0" fontId="7" fillId="5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4" fillId="6" borderId="0" xfId="0" applyNumberFormat="1" applyFont="1" applyFill="1" applyBorder="1" applyAlignment="1">
      <alignment vertical="center" wrapText="1"/>
    </xf>
    <xf numFmtId="0" fontId="0" fillId="7" borderId="0" xfId="0" applyNumberFormat="1" applyFont="1" applyFill="1" applyBorder="1"/>
    <xf numFmtId="0" fontId="3" fillId="4" borderId="4" xfId="0" applyNumberFormat="1" applyFont="1" applyFill="1" applyBorder="1" applyAlignment="1">
      <alignment vertical="center"/>
    </xf>
    <xf numFmtId="0" fontId="1" fillId="2" borderId="4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horizontal="center" vertical="center"/>
    </xf>
    <xf numFmtId="201" fontId="1" fillId="5" borderId="4" xfId="0" applyNumberFormat="1" applyFont="1" applyFill="1" applyBorder="1" applyAlignment="1">
      <alignment horizontal="center" vertical="center"/>
    </xf>
    <xf numFmtId="202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vertical="center"/>
    </xf>
    <xf numFmtId="0" fontId="3" fillId="4" borderId="7" xfId="0" applyNumberFormat="1" applyFont="1" applyFill="1" applyBorder="1" applyAlignment="1">
      <alignment vertical="center"/>
    </xf>
    <xf numFmtId="0" fontId="3" fillId="4" borderId="5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left" vertical="center"/>
    </xf>
    <xf numFmtId="202" fontId="1" fillId="5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vertical="center"/>
    </xf>
    <xf numFmtId="0" fontId="3" fillId="4" borderId="10" xfId="0" applyNumberFormat="1" applyFont="1" applyFill="1" applyBorder="1" applyAlignment="1">
      <alignment vertical="center"/>
    </xf>
    <xf numFmtId="0" fontId="3" fillId="4" borderId="11" xfId="0" applyNumberFormat="1" applyFont="1" applyFill="1" applyBorder="1" applyAlignment="1">
      <alignment vertical="center"/>
    </xf>
    <xf numFmtId="201" fontId="1" fillId="5" borderId="12" xfId="0" applyNumberFormat="1" applyFont="1" applyFill="1" applyBorder="1" applyAlignment="1">
      <alignment horizontal="center" vertical="center"/>
    </xf>
    <xf numFmtId="201" fontId="1" fillId="5" borderId="13" xfId="0" applyNumberFormat="1" applyFont="1" applyFill="1" applyBorder="1" applyAlignment="1">
      <alignment horizontal="center" vertical="center"/>
    </xf>
    <xf numFmtId="202" fontId="1" fillId="5" borderId="12" xfId="0" applyNumberFormat="1" applyFont="1" applyFill="1" applyBorder="1" applyAlignment="1">
      <alignment horizontal="center" vertical="center"/>
    </xf>
    <xf numFmtId="202" fontId="1" fillId="5" borderId="13" xfId="0" applyNumberFormat="1" applyFont="1" applyFill="1" applyBorder="1" applyAlignment="1">
      <alignment horizontal="center" vertical="center"/>
    </xf>
    <xf numFmtId="0" fontId="1" fillId="5" borderId="14" xfId="0" applyNumberFormat="1" applyFont="1" applyFill="1" applyBorder="1" applyAlignment="1">
      <alignment horizontal="center" vertical="center"/>
    </xf>
    <xf numFmtId="0" fontId="1" fillId="5" borderId="15" xfId="0" applyNumberFormat="1" applyFont="1" applyFill="1" applyBorder="1" applyAlignment="1">
      <alignment horizontal="center" vertical="center"/>
    </xf>
    <xf numFmtId="0" fontId="1" fillId="5" borderId="16" xfId="0" applyNumberFormat="1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vertical="center"/>
    </xf>
    <xf numFmtId="0" fontId="3" fillId="4" borderId="18" xfId="0" applyNumberFormat="1" applyFont="1" applyFill="1" applyBorder="1" applyAlignment="1">
      <alignment vertical="center"/>
    </xf>
    <xf numFmtId="0" fontId="3" fillId="4" borderId="19" xfId="0" applyNumberFormat="1" applyFont="1" applyFill="1" applyBorder="1" applyAlignment="1">
      <alignment vertical="center"/>
    </xf>
    <xf numFmtId="201" fontId="1" fillId="5" borderId="20" xfId="0" applyNumberFormat="1" applyFont="1" applyFill="1" applyBorder="1" applyAlignment="1">
      <alignment horizontal="center" vertical="center"/>
    </xf>
    <xf numFmtId="201" fontId="1" fillId="5" borderId="21" xfId="0" applyNumberFormat="1" applyFont="1" applyFill="1" applyBorder="1" applyAlignment="1">
      <alignment horizontal="center" vertical="center"/>
    </xf>
    <xf numFmtId="201" fontId="1" fillId="5" borderId="22" xfId="0" applyNumberFormat="1" applyFont="1" applyFill="1" applyBorder="1" applyAlignment="1">
      <alignment horizontal="center" vertical="center"/>
    </xf>
    <xf numFmtId="202" fontId="1" fillId="5" borderId="20" xfId="0" applyNumberFormat="1" applyFont="1" applyFill="1" applyBorder="1" applyAlignment="1">
      <alignment horizontal="center" vertical="center"/>
    </xf>
    <xf numFmtId="202" fontId="1" fillId="5" borderId="21" xfId="0" applyNumberFormat="1" applyFont="1" applyFill="1" applyBorder="1" applyAlignment="1">
      <alignment horizontal="center" vertical="center"/>
    </xf>
    <xf numFmtId="202" fontId="1" fillId="5" borderId="22" xfId="0" applyNumberFormat="1" applyFont="1" applyFill="1" applyBorder="1" applyAlignment="1">
      <alignment horizontal="center" vertical="center"/>
    </xf>
    <xf numFmtId="0" fontId="1" fillId="5" borderId="20" xfId="0" applyNumberFormat="1" applyFont="1" applyFill="1" applyBorder="1" applyAlignment="1">
      <alignment horizontal="center" vertical="center"/>
    </xf>
    <xf numFmtId="0" fontId="1" fillId="5" borderId="21" xfId="0" applyNumberFormat="1" applyFont="1" applyFill="1" applyBorder="1" applyAlignment="1">
      <alignment horizontal="center" vertical="center"/>
    </xf>
    <xf numFmtId="0" fontId="1" fillId="5" borderId="22" xfId="0" applyNumberFormat="1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horizontal="center" vertical="center"/>
    </xf>
    <xf numFmtId="0" fontId="3" fillId="4" borderId="18" xfId="0" applyNumberFormat="1" applyFont="1" applyFill="1" applyBorder="1" applyAlignment="1">
      <alignment horizontal="center" vertical="center"/>
    </xf>
    <xf numFmtId="0" fontId="3" fillId="4" borderId="19" xfId="0" applyNumberFormat="1" applyFont="1" applyFill="1" applyBorder="1" applyAlignment="1">
      <alignment horizontal="center" vertical="center"/>
    </xf>
    <xf numFmtId="0" fontId="3" fillId="4" borderId="23" xfId="0" applyNumberFormat="1" applyFont="1" applyFill="1" applyBorder="1" applyAlignment="1">
      <alignment vertical="center"/>
    </xf>
    <xf numFmtId="201" fontId="1" fillId="5" borderId="24" xfId="0" applyNumberFormat="1" applyFont="1" applyFill="1" applyBorder="1" applyAlignment="1">
      <alignment horizontal="center" vertical="center" wrapText="1"/>
    </xf>
    <xf numFmtId="202" fontId="1" fillId="5" borderId="24" xfId="0" applyNumberFormat="1" applyFont="1" applyFill="1" applyBorder="1" applyAlignment="1">
      <alignment horizontal="center" vertical="center" wrapText="1"/>
    </xf>
    <xf numFmtId="0" fontId="1" fillId="5" borderId="25" xfId="0" applyNumberFormat="1" applyFont="1" applyFill="1" applyBorder="1" applyAlignment="1">
      <alignment horizontal="center" vertical="center" wrapText="1"/>
    </xf>
    <xf numFmtId="0" fontId="3" fillId="4" borderId="26" xfId="0" applyNumberFormat="1" applyFont="1" applyFill="1" applyBorder="1" applyAlignment="1">
      <alignment vertical="center"/>
    </xf>
    <xf numFmtId="201" fontId="1" fillId="5" borderId="27" xfId="0" applyNumberFormat="1" applyFont="1" applyFill="1" applyBorder="1" applyAlignment="1">
      <alignment horizontal="center" vertical="center" wrapText="1"/>
    </xf>
    <xf numFmtId="202" fontId="1" fillId="5" borderId="27" xfId="0" applyNumberFormat="1" applyFont="1" applyFill="1" applyBorder="1" applyAlignment="1">
      <alignment horizontal="center" vertical="center" wrapText="1"/>
    </xf>
    <xf numFmtId="0" fontId="1" fillId="5" borderId="27" xfId="0" applyNumberFormat="1" applyFont="1" applyFill="1" applyBorder="1" applyAlignment="1">
      <alignment horizontal="center" vertical="center" wrapText="1"/>
    </xf>
    <xf numFmtId="0" fontId="3" fillId="4" borderId="26" xfId="0" applyNumberFormat="1" applyFont="1" applyFill="1" applyBorder="1" applyAlignment="1">
      <alignment horizontal="center" vertical="center"/>
    </xf>
    <xf numFmtId="0" fontId="1" fillId="2" borderId="21" xfId="0" applyNumberFormat="1" applyFont="1" applyFill="1" applyBorder="1" applyAlignment="1">
      <alignment horizontal="left" vertical="center"/>
    </xf>
    <xf numFmtId="0" fontId="1" fillId="2" borderId="28" xfId="0" applyNumberFormat="1" applyFont="1" applyFill="1" applyBorder="1" applyAlignment="1">
      <alignment horizontal="left" vertical="center"/>
    </xf>
    <xf numFmtId="0" fontId="1" fillId="2" borderId="29" xfId="0" applyNumberFormat="1" applyFont="1" applyFill="1" applyBorder="1" applyAlignment="1">
      <alignment horizontal="left" vertical="center"/>
    </xf>
    <xf numFmtId="0" fontId="1" fillId="3" borderId="30" xfId="0" applyNumberFormat="1" applyFont="1" applyFill="1" applyBorder="1" applyAlignment="1">
      <alignment vertical="center"/>
    </xf>
    <xf numFmtId="200" fontId="1" fillId="3" borderId="30" xfId="0" applyNumberFormat="1" applyFont="1" applyFill="1" applyBorder="1" applyAlignment="1">
      <alignment vertical="center"/>
    </xf>
    <xf numFmtId="0" fontId="1" fillId="3" borderId="31" xfId="0" applyNumberFormat="1" applyFont="1" applyFill="1" applyBorder="1" applyAlignment="1">
      <alignment vertical="center"/>
    </xf>
    <xf numFmtId="0" fontId="1" fillId="3" borderId="32" xfId="0" applyNumberFormat="1" applyFont="1" applyFill="1" applyBorder="1" applyAlignment="1">
      <alignment vertical="center"/>
    </xf>
    <xf numFmtId="0" fontId="1" fillId="3" borderId="33" xfId="0" applyNumberFormat="1" applyFont="1" applyFill="1" applyBorder="1" applyAlignment="1">
      <alignment vertical="center"/>
    </xf>
    <xf numFmtId="0" fontId="1" fillId="3" borderId="30" xfId="0" applyNumberFormat="1" applyFont="1" applyFill="1" applyBorder="1" applyAlignment="1">
      <alignment horizontal="right" vertical="center"/>
    </xf>
    <xf numFmtId="200" fontId="1" fillId="3" borderId="30" xfId="0" applyNumberFormat="1" applyFont="1" applyFill="1" applyBorder="1" applyAlignment="1">
      <alignment horizontal="right" vertical="center"/>
    </xf>
    <xf numFmtId="0" fontId="1" fillId="3" borderId="31" xfId="0" applyNumberFormat="1" applyFont="1" applyFill="1" applyBorder="1" applyAlignment="1">
      <alignment horizontal="left" vertical="center"/>
    </xf>
    <xf numFmtId="0" fontId="1" fillId="3" borderId="32" xfId="0" applyNumberFormat="1" applyFont="1" applyFill="1" applyBorder="1" applyAlignment="1">
      <alignment horizontal="left" vertical="center"/>
    </xf>
    <xf numFmtId="0" fontId="1" fillId="3" borderId="33" xfId="0" applyNumberFormat="1" applyFont="1" applyFill="1" applyBorder="1" applyAlignment="1">
      <alignment horizontal="left" vertical="center"/>
    </xf>
    <xf numFmtId="0" fontId="1" fillId="2" borderId="30" xfId="0" applyNumberFormat="1" applyFont="1" applyFill="1" applyBorder="1" applyAlignment="1">
      <alignment vertical="center"/>
    </xf>
    <xf numFmtId="200" fontId="1" fillId="2" borderId="30" xfId="0" applyNumberFormat="1" applyFont="1" applyFill="1" applyBorder="1" applyAlignment="1">
      <alignment vertical="center"/>
    </xf>
    <xf numFmtId="0" fontId="1" fillId="2" borderId="31" xfId="0" applyNumberFormat="1" applyFont="1" applyFill="1" applyBorder="1" applyAlignment="1">
      <alignment vertical="center"/>
    </xf>
    <xf numFmtId="0" fontId="1" fillId="2" borderId="32" xfId="0" applyNumberFormat="1" applyFont="1" applyFill="1" applyBorder="1" applyAlignment="1">
      <alignment vertical="center"/>
    </xf>
    <xf numFmtId="0" fontId="1" fillId="2" borderId="33" xfId="0" applyNumberFormat="1" applyFont="1" applyFill="1" applyBorder="1" applyAlignment="1">
      <alignment vertical="center"/>
    </xf>
    <xf numFmtId="0" fontId="1" fillId="2" borderId="30" xfId="0" applyNumberFormat="1" applyFont="1" applyFill="1" applyBorder="1" applyAlignment="1">
      <alignment horizontal="right" vertical="center"/>
    </xf>
    <xf numFmtId="200" fontId="1" fillId="2" borderId="30" xfId="0" applyNumberFormat="1" applyFont="1" applyFill="1" applyBorder="1" applyAlignment="1">
      <alignment horizontal="right" vertical="center"/>
    </xf>
    <xf numFmtId="0" fontId="1" fillId="2" borderId="31" xfId="0" applyNumberFormat="1" applyFont="1" applyFill="1" applyBorder="1" applyAlignment="1">
      <alignment horizontal="left" vertical="center"/>
    </xf>
    <xf numFmtId="0" fontId="1" fillId="2" borderId="32" xfId="0" applyNumberFormat="1" applyFont="1" applyFill="1" applyBorder="1" applyAlignment="1">
      <alignment horizontal="left" vertical="center"/>
    </xf>
    <xf numFmtId="0" fontId="1" fillId="2" borderId="33" xfId="0" applyNumberFormat="1" applyFont="1" applyFill="1" applyBorder="1" applyAlignment="1">
      <alignment horizontal="left" vertical="center"/>
    </xf>
    <xf numFmtId="0" fontId="3" fillId="4" borderId="0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left" vertical="center"/>
    </xf>
    <xf numFmtId="0" fontId="1" fillId="3" borderId="2" xfId="0" applyNumberFormat="1" applyFont="1" applyFill="1" applyBorder="1" applyAlignment="1">
      <alignment horizontal="left" vertical="center"/>
    </xf>
    <xf numFmtId="0" fontId="1" fillId="3" borderId="3" xfId="0" applyNumberFormat="1" applyFont="1" applyFill="1" applyBorder="1" applyAlignment="1">
      <alignment horizontal="left" vertical="center"/>
    </xf>
    <xf numFmtId="0" fontId="4" fillId="6" borderId="0" xfId="0" applyNumberFormat="1" applyFont="1" applyFill="1" applyBorder="1" applyAlignment="1">
      <alignment horizontal="left" vertical="center"/>
    </xf>
    <xf numFmtId="0" fontId="4" fillId="6" borderId="0" xfId="0" applyNumberFormat="1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left" vertical="center"/>
    </xf>
    <xf numFmtId="205" fontId="1" fillId="3" borderId="4" xfId="0" applyNumberFormat="1" applyFont="1" applyFill="1" applyBorder="1" applyAlignment="1">
      <alignment horizontal="center" vertical="center"/>
    </xf>
    <xf numFmtId="205" fontId="1" fillId="5" borderId="4" xfId="0" applyNumberFormat="1" applyFont="1" applyFill="1" applyBorder="1" applyAlignment="1">
      <alignment vertical="center"/>
    </xf>
    <xf numFmtId="0" fontId="1" fillId="3" borderId="34" xfId="0" applyNumberFormat="1" applyFont="1" applyFill="1" applyBorder="1" applyAlignment="1">
      <alignment horizontal="left" vertical="center"/>
    </xf>
    <xf numFmtId="205" fontId="1" fillId="5" borderId="35" xfId="0" applyNumberFormat="1" applyFont="1" applyFill="1" applyBorder="1" applyAlignment="1">
      <alignment vertical="center"/>
    </xf>
    <xf numFmtId="205" fontId="1" fillId="5" borderId="35" xfId="0" applyNumberFormat="1" applyFont="1" applyFill="1" applyBorder="1" applyAlignment="1">
      <alignment horizontal="right" vertical="center"/>
    </xf>
    <xf numFmtId="0" fontId="3" fillId="4" borderId="36" xfId="0" applyNumberFormat="1" applyFont="1" applyFill="1" applyBorder="1" applyAlignment="1">
      <alignment horizontal="left" vertical="center"/>
    </xf>
    <xf numFmtId="204" fontId="3" fillId="4" borderId="36" xfId="0" applyNumberFormat="1" applyFont="1" applyFill="1" applyBorder="1" applyAlignment="1">
      <alignment horizontal="center" vertical="center"/>
    </xf>
    <xf numFmtId="0" fontId="3" fillId="4" borderId="36" xfId="0" applyNumberFormat="1" applyFont="1" applyFill="1" applyBorder="1" applyAlignment="1">
      <alignment vertical="center"/>
    </xf>
    <xf numFmtId="0" fontId="3" fillId="4" borderId="36" xfId="0" applyNumberFormat="1" applyFont="1" applyFill="1" applyBorder="1" applyAlignment="1">
      <alignment horizontal="left" vertical="center" wrapText="1"/>
    </xf>
    <xf numFmtId="0" fontId="4" fillId="6" borderId="37" xfId="0" applyNumberFormat="1" applyFont="1" applyFill="1" applyBorder="1" applyAlignment="1">
      <alignment horizontal="left" vertical="center"/>
    </xf>
    <xf numFmtId="205" fontId="4" fillId="6" borderId="8" xfId="0" applyNumberFormat="1" applyFont="1" applyFill="1" applyBorder="1" applyAlignment="1">
      <alignment horizontal="center" vertical="center"/>
    </xf>
    <xf numFmtId="205" fontId="4" fillId="6" borderId="38" xfId="0" applyNumberFormat="1" applyFont="1" applyFill="1" applyBorder="1" applyAlignment="1">
      <alignment vertical="center"/>
    </xf>
    <xf numFmtId="0" fontId="4" fillId="6" borderId="37" xfId="0" applyNumberFormat="1" applyFont="1" applyFill="1" applyBorder="1" applyAlignment="1">
      <alignment horizontal="left" vertical="center" wrapText="1"/>
    </xf>
    <xf numFmtId="0" fontId="1" fillId="2" borderId="9" xfId="0" applyNumberFormat="1" applyFont="1" applyFill="1" applyBorder="1" applyAlignment="1">
      <alignment vertical="center"/>
    </xf>
    <xf numFmtId="0" fontId="1" fillId="2" borderId="10" xfId="0" applyNumberFormat="1" applyFont="1" applyFill="1" applyBorder="1" applyAlignment="1">
      <alignment vertical="center"/>
    </xf>
    <xf numFmtId="201" fontId="1" fillId="3" borderId="10" xfId="0" applyNumberFormat="1" applyFont="1" applyFill="1" applyBorder="1" applyAlignment="1">
      <alignment vertical="center"/>
    </xf>
    <xf numFmtId="201" fontId="1" fillId="3" borderId="11" xfId="0" applyNumberFormat="1" applyFont="1" applyFill="1" applyBorder="1" applyAlignment="1">
      <alignment vertical="center"/>
    </xf>
    <xf numFmtId="0" fontId="1" fillId="2" borderId="12" xfId="0" applyNumberFormat="1" applyFont="1" applyFill="1" applyBorder="1" applyAlignment="1">
      <alignment vertical="center"/>
    </xf>
    <xf numFmtId="201" fontId="1" fillId="3" borderId="13" xfId="0" applyNumberFormat="1" applyFont="1" applyFill="1" applyBorder="1" applyAlignment="1">
      <alignment vertical="center"/>
    </xf>
    <xf numFmtId="201" fontId="1" fillId="5" borderId="13" xfId="0" applyNumberFormat="1" applyFont="1" applyFill="1" applyBorder="1" applyAlignment="1">
      <alignment vertical="center"/>
    </xf>
    <xf numFmtId="202" fontId="1" fillId="5" borderId="13" xfId="0" applyNumberFormat="1" applyFont="1" applyFill="1" applyBorder="1" applyAlignment="1">
      <alignment vertical="center"/>
    </xf>
    <xf numFmtId="0" fontId="1" fillId="2" borderId="14" xfId="0" applyNumberFormat="1" applyFont="1" applyFill="1" applyBorder="1" applyAlignment="1">
      <alignment vertical="center"/>
    </xf>
    <xf numFmtId="0" fontId="1" fillId="2" borderId="15" xfId="0" applyNumberFormat="1" applyFont="1" applyFill="1" applyBorder="1" applyAlignment="1">
      <alignment vertical="center"/>
    </xf>
    <xf numFmtId="202" fontId="1" fillId="5" borderId="15" xfId="0" applyNumberFormat="1" applyFont="1" applyFill="1" applyBorder="1" applyAlignment="1">
      <alignment vertical="center"/>
    </xf>
    <xf numFmtId="202" fontId="1" fillId="5" borderId="16" xfId="0" applyNumberFormat="1" applyFont="1" applyFill="1" applyBorder="1" applyAlignment="1">
      <alignment vertical="center"/>
    </xf>
    <xf numFmtId="0" fontId="1" fillId="2" borderId="39" xfId="0" applyNumberFormat="1" applyFont="1" applyFill="1" applyBorder="1" applyAlignment="1">
      <alignment vertical="center"/>
    </xf>
    <xf numFmtId="0" fontId="1" fillId="2" borderId="40" xfId="0" applyNumberFormat="1" applyFont="1" applyFill="1" applyBorder="1" applyAlignment="1">
      <alignment vertical="center"/>
    </xf>
    <xf numFmtId="0" fontId="1" fillId="2" borderId="41" xfId="0" applyNumberFormat="1" applyFont="1" applyFill="1" applyBorder="1" applyAlignment="1">
      <alignment vertical="center"/>
    </xf>
    <xf numFmtId="0" fontId="1" fillId="2" borderId="39" xfId="0" applyNumberFormat="1" applyFont="1" applyFill="1" applyBorder="1" applyAlignment="1">
      <alignment horizontal="left" vertical="center"/>
    </xf>
    <xf numFmtId="0" fontId="1" fillId="2" borderId="40" xfId="0" applyNumberFormat="1" applyFont="1" applyFill="1" applyBorder="1" applyAlignment="1">
      <alignment horizontal="left" vertical="center"/>
    </xf>
    <xf numFmtId="0" fontId="1" fillId="2" borderId="41" xfId="0" applyNumberFormat="1" applyFont="1" applyFill="1" applyBorder="1" applyAlignment="1">
      <alignment horizontal="left" vertical="center"/>
    </xf>
    <xf numFmtId="201" fontId="1" fillId="3" borderId="40" xfId="0" applyNumberFormat="1" applyFont="1" applyFill="1" applyBorder="1" applyAlignment="1">
      <alignment vertical="center"/>
    </xf>
    <xf numFmtId="201" fontId="1" fillId="3" borderId="41" xfId="0" applyNumberFormat="1" applyFont="1" applyFill="1" applyBorder="1" applyAlignment="1">
      <alignment vertical="center"/>
    </xf>
    <xf numFmtId="201" fontId="1" fillId="3" borderId="40" xfId="0" applyNumberFormat="1" applyFont="1" applyFill="1" applyBorder="1" applyAlignment="1">
      <alignment horizontal="right" vertical="center"/>
    </xf>
    <xf numFmtId="201" fontId="1" fillId="3" borderId="41" xfId="0" applyNumberFormat="1" applyFont="1" applyFill="1" applyBorder="1" applyAlignment="1">
      <alignment horizontal="right" vertical="center"/>
    </xf>
    <xf numFmtId="0" fontId="1" fillId="2" borderId="20" xfId="0" applyNumberFormat="1" applyFont="1" applyFill="1" applyBorder="1" applyAlignment="1">
      <alignment vertical="center"/>
    </xf>
    <xf numFmtId="0" fontId="1" fillId="2" borderId="21" xfId="0" applyNumberFormat="1" applyFont="1" applyFill="1" applyBorder="1" applyAlignment="1">
      <alignment vertical="center"/>
    </xf>
    <xf numFmtId="0" fontId="1" fillId="2" borderId="22" xfId="0" applyNumberFormat="1" applyFont="1" applyFill="1" applyBorder="1" applyAlignment="1">
      <alignment vertical="center"/>
    </xf>
    <xf numFmtId="0" fontId="1" fillId="2" borderId="20" xfId="0" applyNumberFormat="1" applyFont="1" applyFill="1" applyBorder="1" applyAlignment="1">
      <alignment horizontal="left" vertical="center"/>
    </xf>
    <xf numFmtId="0" fontId="1" fillId="2" borderId="22" xfId="0" applyNumberFormat="1" applyFont="1" applyFill="1" applyBorder="1" applyAlignment="1">
      <alignment horizontal="left" vertical="center"/>
    </xf>
    <xf numFmtId="201" fontId="1" fillId="3" borderId="21" xfId="0" applyNumberFormat="1" applyFont="1" applyFill="1" applyBorder="1" applyAlignment="1">
      <alignment vertical="center"/>
    </xf>
    <xf numFmtId="201" fontId="1" fillId="3" borderId="22" xfId="0" applyNumberFormat="1" applyFont="1" applyFill="1" applyBorder="1" applyAlignment="1">
      <alignment vertical="center"/>
    </xf>
    <xf numFmtId="201" fontId="1" fillId="3" borderId="21" xfId="0" applyNumberFormat="1" applyFont="1" applyFill="1" applyBorder="1" applyAlignment="1">
      <alignment horizontal="right" vertical="center"/>
    </xf>
    <xf numFmtId="201" fontId="1" fillId="3" borderId="22" xfId="0" applyNumberFormat="1" applyFont="1" applyFill="1" applyBorder="1" applyAlignment="1">
      <alignment horizontal="right" vertical="center"/>
    </xf>
    <xf numFmtId="201" fontId="1" fillId="5" borderId="21" xfId="0" applyNumberFormat="1" applyFont="1" applyFill="1" applyBorder="1" applyAlignment="1">
      <alignment vertical="center"/>
    </xf>
    <xf numFmtId="201" fontId="1" fillId="5" borderId="22" xfId="0" applyNumberFormat="1" applyFont="1" applyFill="1" applyBorder="1" applyAlignment="1">
      <alignment vertical="center"/>
    </xf>
    <xf numFmtId="201" fontId="1" fillId="5" borderId="21" xfId="0" applyNumberFormat="1" applyFont="1" applyFill="1" applyBorder="1" applyAlignment="1">
      <alignment horizontal="right" vertical="center"/>
    </xf>
    <xf numFmtId="201" fontId="1" fillId="5" borderId="22" xfId="0" applyNumberFormat="1" applyFont="1" applyFill="1" applyBorder="1" applyAlignment="1">
      <alignment horizontal="right" vertical="center"/>
    </xf>
    <xf numFmtId="202" fontId="1" fillId="5" borderId="21" xfId="0" applyNumberFormat="1" applyFont="1" applyFill="1" applyBorder="1" applyAlignment="1">
      <alignment vertical="center"/>
    </xf>
    <xf numFmtId="202" fontId="1" fillId="5" borderId="22" xfId="0" applyNumberFormat="1" applyFont="1" applyFill="1" applyBorder="1" applyAlignment="1">
      <alignment vertical="center"/>
    </xf>
    <xf numFmtId="202" fontId="1" fillId="5" borderId="21" xfId="0" applyNumberFormat="1" applyFont="1" applyFill="1" applyBorder="1" applyAlignment="1">
      <alignment horizontal="right" vertical="center"/>
    </xf>
    <xf numFmtId="202" fontId="1" fillId="5" borderId="22" xfId="0" applyNumberFormat="1" applyFont="1" applyFill="1" applyBorder="1" applyAlignment="1">
      <alignment horizontal="right" vertical="center"/>
    </xf>
    <xf numFmtId="201" fontId="1" fillId="5" borderId="10" xfId="0" applyNumberFormat="1" applyFont="1" applyFill="1" applyBorder="1" applyAlignment="1">
      <alignment vertical="center"/>
    </xf>
    <xf numFmtId="201" fontId="1" fillId="5" borderId="11" xfId="0" applyNumberFormat="1" applyFont="1" applyFill="1" applyBorder="1" applyAlignment="1">
      <alignment vertical="center"/>
    </xf>
    <xf numFmtId="201" fontId="1" fillId="5" borderId="15" xfId="0" applyNumberFormat="1" applyFont="1" applyFill="1" applyBorder="1" applyAlignment="1">
      <alignment vertical="center"/>
    </xf>
    <xf numFmtId="201" fontId="1" fillId="5" borderId="16" xfId="0" applyNumberFormat="1" applyFont="1" applyFill="1" applyBorder="1" applyAlignment="1">
      <alignment vertical="center"/>
    </xf>
    <xf numFmtId="201" fontId="1" fillId="5" borderId="40" xfId="0" applyNumberFormat="1" applyFont="1" applyFill="1" applyBorder="1" applyAlignment="1">
      <alignment vertical="center"/>
    </xf>
    <xf numFmtId="201" fontId="1" fillId="5" borderId="41" xfId="0" applyNumberFormat="1" applyFont="1" applyFill="1" applyBorder="1" applyAlignment="1">
      <alignment vertical="center"/>
    </xf>
    <xf numFmtId="201" fontId="1" fillId="5" borderId="40" xfId="0" applyNumberFormat="1" applyFont="1" applyFill="1" applyBorder="1" applyAlignment="1">
      <alignment horizontal="right" vertical="center"/>
    </xf>
    <xf numFmtId="201" fontId="1" fillId="5" borderId="41" xfId="0" applyNumberFormat="1" applyFont="1" applyFill="1" applyBorder="1" applyAlignment="1">
      <alignment horizontal="right" vertical="center"/>
    </xf>
    <xf numFmtId="0" fontId="7" fillId="5" borderId="0" xfId="0" applyNumberFormat="1" applyFont="1" applyFill="1" applyBorder="1" applyAlignment="1">
      <alignment horizontal="left" vertical="center"/>
    </xf>
    <xf numFmtId="0" fontId="1" fillId="5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 wrapText="1"/>
    </xf>
    <xf numFmtId="0" fontId="7" fillId="5" borderId="4" xfId="0" applyNumberFormat="1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left" vertical="center"/>
    </xf>
    <xf numFmtId="0" fontId="1" fillId="3" borderId="30" xfId="0" applyNumberFormat="1" applyFont="1" applyFill="1" applyBorder="1" applyAlignment="1">
      <alignment horizontal="right" vertical="center" indent="1"/>
    </xf>
    <xf numFmtId="0" fontId="1" fillId="3" borderId="31" xfId="0" applyNumberFormat="1" applyFont="1" applyFill="1" applyBorder="1" applyAlignment="1">
      <alignment horizontal="left" vertical="center" indent="1"/>
    </xf>
    <xf numFmtId="0" fontId="1" fillId="3" borderId="32" xfId="0" applyNumberFormat="1" applyFont="1" applyFill="1" applyBorder="1" applyAlignment="1">
      <alignment horizontal="left" vertical="center" indent="1"/>
    </xf>
    <xf numFmtId="0" fontId="1" fillId="3" borderId="33" xfId="0" applyNumberFormat="1" applyFont="1" applyFill="1" applyBorder="1" applyAlignment="1">
      <alignment horizontal="left" vertical="center" indent="1"/>
    </xf>
    <xf numFmtId="200" fontId="1" fillId="3" borderId="30" xfId="0" applyNumberFormat="1" applyFont="1" applyFill="1" applyBorder="1" applyAlignment="1">
      <alignment horizontal="right" vertical="center" indent="1"/>
    </xf>
    <xf numFmtId="0" fontId="3" fillId="4" borderId="5" xfId="0" applyNumberFormat="1" applyFont="1" applyFill="1" applyBorder="1" applyAlignment="1">
      <alignment horizontal="left" vertical="center" indent="1"/>
    </xf>
    <xf numFmtId="0" fontId="1" fillId="2" borderId="4" xfId="0" applyNumberFormat="1" applyFont="1" applyFill="1" applyBorder="1" applyAlignment="1">
      <alignment horizontal="left" vertical="center" indent="1"/>
    </xf>
    <xf numFmtId="0" fontId="1" fillId="2" borderId="8" xfId="0" applyNumberFormat="1" applyFont="1" applyFill="1" applyBorder="1" applyAlignment="1">
      <alignment horizontal="left" vertical="center" indent="1"/>
    </xf>
    <xf numFmtId="0" fontId="1" fillId="2" borderId="21" xfId="0" applyNumberFormat="1" applyFont="1" applyFill="1" applyBorder="1" applyAlignment="1">
      <alignment horizontal="left" vertical="center" indent="1"/>
    </xf>
    <xf numFmtId="0" fontId="1" fillId="2" borderId="28" xfId="0" applyNumberFormat="1" applyFont="1" applyFill="1" applyBorder="1" applyAlignment="1">
      <alignment horizontal="left" vertical="center" indent="1"/>
    </xf>
    <xf numFmtId="0" fontId="1" fillId="2" borderId="29" xfId="0" applyNumberFormat="1" applyFont="1" applyFill="1" applyBorder="1" applyAlignment="1">
      <alignment horizontal="left" vertical="center" indent="1"/>
    </xf>
    <xf numFmtId="0" fontId="1" fillId="2" borderId="30" xfId="0" applyNumberFormat="1" applyFont="1" applyFill="1" applyBorder="1" applyAlignment="1">
      <alignment horizontal="right" vertical="center" indent="1"/>
    </xf>
    <xf numFmtId="0" fontId="1" fillId="2" borderId="31" xfId="0" applyNumberFormat="1" applyFont="1" applyFill="1" applyBorder="1" applyAlignment="1">
      <alignment horizontal="left" vertical="center" indent="1"/>
    </xf>
    <xf numFmtId="0" fontId="1" fillId="2" borderId="32" xfId="0" applyNumberFormat="1" applyFont="1" applyFill="1" applyBorder="1" applyAlignment="1">
      <alignment horizontal="left" vertical="center" indent="1"/>
    </xf>
    <xf numFmtId="0" fontId="1" fillId="2" borderId="33" xfId="0" applyNumberFormat="1" applyFont="1" applyFill="1" applyBorder="1" applyAlignment="1">
      <alignment horizontal="left" vertical="center" indent="1"/>
    </xf>
    <xf numFmtId="200" fontId="1" fillId="2" borderId="30" xfId="0" applyNumberFormat="1" applyFont="1" applyFill="1" applyBorder="1" applyAlignment="1">
      <alignment horizontal="right" vertical="center" indent="1"/>
    </xf>
    <xf numFmtId="0" fontId="3" fillId="4" borderId="36" xfId="0" applyNumberFormat="1" applyFont="1" applyFill="1" applyBorder="1" applyAlignment="1">
      <alignment horizontal="left" vertical="center" wrapText="1" indent="1"/>
    </xf>
    <xf numFmtId="0" fontId="3" fillId="4" borderId="36" xfId="0" applyNumberFormat="1" applyFont="1" applyFill="1" applyBorder="1" applyAlignment="1">
      <alignment vertical="center" horizontal="left" indent="1"/>
    </xf>
    <xf numFmtId="0" fontId="1" fillId="3" borderId="34" xfId="0" applyNumberFormat="1" applyFont="1" applyFill="1" applyBorder="1" applyAlignment="1">
      <alignment horizontal="left" vertical="center" indent="1"/>
    </xf>
    <xf numFmtId="205" fontId="1" fillId="5" borderId="35" xfId="0" applyNumberFormat="1" applyFont="1" applyFill="1" applyBorder="1" applyAlignment="1">
      <alignment horizontal="right" vertical="center" indent="1"/>
    </xf>
    <xf numFmtId="0" fontId="4" fillId="6" borderId="37" xfId="0" applyNumberFormat="1" applyFont="1" applyFill="1" applyBorder="1" applyAlignment="1">
      <alignment horizontal="left" vertical="center" wrapText="1" indent="1"/>
    </xf>
    <xf numFmtId="205" fontId="4" fillId="6" borderId="38" xfId="0" applyNumberFormat="1" applyFont="1" applyFill="1" applyBorder="1" applyAlignment="1">
      <alignment vertical="center" horizontal="right" indent="1"/>
    </xf>
    <xf numFmtId="0" fontId="1" fillId="2" borderId="39" xfId="0" applyNumberFormat="1" applyFont="1" applyFill="1" applyBorder="1" applyAlignment="1">
      <alignment horizontal="left" vertical="center" indent="1"/>
    </xf>
    <xf numFmtId="0" fontId="1" fillId="2" borderId="40" xfId="0" applyNumberFormat="1" applyFont="1" applyFill="1" applyBorder="1" applyAlignment="1">
      <alignment horizontal="left" vertical="center" indent="1"/>
    </xf>
    <xf numFmtId="0" fontId="1" fillId="2" borderId="41" xfId="0" applyNumberFormat="1" applyFont="1" applyFill="1" applyBorder="1" applyAlignment="1">
      <alignment horizontal="left" vertical="center" indent="1"/>
    </xf>
    <xf numFmtId="201" fontId="1" fillId="3" borderId="40" xfId="0" applyNumberFormat="1" applyFont="1" applyFill="1" applyBorder="1" applyAlignment="1">
      <alignment horizontal="right" vertical="center" indent="1"/>
    </xf>
    <xf numFmtId="201" fontId="1" fillId="3" borderId="41" xfId="0" applyNumberFormat="1" applyFont="1" applyFill="1" applyBorder="1" applyAlignment="1">
      <alignment horizontal="right" vertical="center" indent="1"/>
    </xf>
    <xf numFmtId="201" fontId="1" fillId="5" borderId="40" xfId="0" applyNumberFormat="1" applyFont="1" applyFill="1" applyBorder="1" applyAlignment="1">
      <alignment horizontal="right" vertical="center" indent="1"/>
    </xf>
    <xf numFmtId="201" fontId="1" fillId="5" borderId="41" xfId="0" applyNumberFormat="1" applyFont="1" applyFill="1" applyBorder="1" applyAlignment="1">
      <alignment horizontal="right" vertical="center" indent="1"/>
    </xf>
    <xf numFmtId="0" fontId="1" fillId="2" borderId="20" xfId="0" applyNumberFormat="1" applyFont="1" applyFill="1" applyBorder="1" applyAlignment="1">
      <alignment horizontal="left" vertical="center" indent="1"/>
    </xf>
    <xf numFmtId="0" fontId="1" fillId="2" borderId="22" xfId="0" applyNumberFormat="1" applyFont="1" applyFill="1" applyBorder="1" applyAlignment="1">
      <alignment horizontal="left" vertical="center" indent="1"/>
    </xf>
    <xf numFmtId="201" fontId="1" fillId="3" borderId="21" xfId="0" applyNumberFormat="1" applyFont="1" applyFill="1" applyBorder="1" applyAlignment="1">
      <alignment horizontal="right" vertical="center" indent="1"/>
    </xf>
    <xf numFmtId="201" fontId="1" fillId="3" borderId="22" xfId="0" applyNumberFormat="1" applyFont="1" applyFill="1" applyBorder="1" applyAlignment="1">
      <alignment horizontal="right" vertical="center" indent="1"/>
    </xf>
    <xf numFmtId="201" fontId="1" fillId="5" borderId="21" xfId="0" applyNumberFormat="1" applyFont="1" applyFill="1" applyBorder="1" applyAlignment="1">
      <alignment horizontal="right" vertical="center" indent="1"/>
    </xf>
    <xf numFmtId="201" fontId="1" fillId="5" borderId="22" xfId="0" applyNumberFormat="1" applyFont="1" applyFill="1" applyBorder="1" applyAlignment="1">
      <alignment horizontal="right" vertical="center" indent="1"/>
    </xf>
    <xf numFmtId="202" fontId="1" fillId="5" borderId="21" xfId="0" applyNumberFormat="1" applyFont="1" applyFill="1" applyBorder="1" applyAlignment="1">
      <alignment horizontal="right" vertical="center" indent="1"/>
    </xf>
    <xf numFmtId="202" fontId="1" fillId="5" borderId="22" xfId="0" applyNumberFormat="1" applyFont="1" applyFill="1" applyBorder="1" applyAlignment="1">
      <alignment horizontal="right" vertical="center" indent="1"/>
    </xf>
    <xf numFmtId="0" fontId="3" fillId="4" borderId="36" xfId="0" applyNumberFormat="1" applyFont="1" applyFill="1" applyBorder="1" applyAlignment="1">
      <alignment horizontal="left" vertical="center" indent="1"/>
    </xf>
    <xf numFmtId="0" fontId="7" fillId="5" borderId="4" xfId="0" applyNumberFormat="1" applyFont="1" applyFill="1" applyBorder="1" applyAlignment="1">
      <alignment horizontal="left" vertical="center" indent="1"/>
    </xf>
    <xf numFmtId="0" fontId="1" fillId="5" borderId="4" xfId="0" applyNumberFormat="1" applyFont="1" applyFill="1" applyBorder="1" applyAlignment="1">
      <alignment horizontal="left" vertical="center" indent="1"/>
    </xf>
  </cellXfs>
  <cellStyles count="1">
    <cellStyle name="Normal" xfId="0"/>
  </cellStyles>
  <dxfs count="196"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c995147b54ec6" /><Relationship Type="http://schemas.openxmlformats.org/officeDocument/2006/relationships/theme" Target="/xl/theme/theme1.xml" Id="Rc505cd1872d54cf1" /><Relationship Type="http://schemas.openxmlformats.org/officeDocument/2006/relationships/sharedStrings" Target="/xl/sharedStrings.xml" Id="R7fee0e37c4344d71" /><Relationship Type="http://schemas.openxmlformats.org/officeDocument/2006/relationships/worksheet" Target="/xl/worksheets/sheet1.xml" Id="Rfc86788bb6f946b4" /><Relationship Type="http://schemas.openxmlformats.org/officeDocument/2006/relationships/worksheet" Target="/xl/worksheets/sheet2.xml" Id="R4b3715e0e3a246c2" /><Relationship Type="http://schemas.openxmlformats.org/officeDocument/2006/relationships/worksheet" Target="/xl/worksheets/sheet3.xml" Id="R78ac9b4494344b5f" /><Relationship Type="http://schemas.openxmlformats.org/officeDocument/2006/relationships/worksheet" Target="/xl/worksheets/sheet4.xml" Id="Rea63f2b94f834216" /><Relationship Type="http://schemas.openxmlformats.org/officeDocument/2006/relationships/worksheet" Target="/xl/worksheets/sheet5.xml" Id="Rf5a92da2eea24d28" /><Relationship Type="http://schemas.openxmlformats.org/officeDocument/2006/relationships/worksheet" Target="/xl/worksheets/sheet6.xml" Id="Rc6aef6898e6a47d5" /><Relationship Type="http://schemas.openxmlformats.org/officeDocument/2006/relationships/worksheet" Target="/xl/worksheets/sheet7.xml" Id="R022b6fbc6df24b53" /><Relationship Type="http://schemas.openxmlformats.org/officeDocument/2006/relationships/worksheet" Target="/xl/worksheets/sheet8.xml" Id="R8ed68c9fdc1145ab" /><Relationship Type="http://schemas.openxmlformats.org/officeDocument/2006/relationships/worksheet" Target="/xl/worksheets/sheet9.xml" Id="R9d3145b80564443e" /><Relationship Type="http://schemas.openxmlformats.org/officeDocument/2006/relationships/worksheet" Target="/xl/worksheets/sheet10.xml" Id="R1be6473fbd504f89" /><Relationship Type="http://schemas.openxmlformats.org/officeDocument/2006/relationships/worksheet" Target="/xl/worksheets/sheet11.xml" Id="Rb99bd5a191da4720" /><Relationship Type="http://schemas.openxmlformats.org/officeDocument/2006/relationships/worksheet" Target="/xl/worksheets/sheet12.xml" Id="Re714e445d13f48f2" /><Relationship Type="http://schemas.openxmlformats.org/officeDocument/2006/relationships/worksheet" Target="/xl/worksheets/sheet13.xml" Id="Ra5116e28440d41c1" /><Relationship Type="http://schemas.openxmlformats.org/officeDocument/2006/relationships/worksheet" Target="/xl/worksheets/sheet14.xml" Id="R12b09f78a4bc4def" /><Relationship Type="http://schemas.openxmlformats.org/officeDocument/2006/relationships/worksheet" Target="/xl/worksheets/sheet15.xml" Id="R478cb6175a2343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006053"/>
  </sheetPr>
  <sheetViews>
    <sheetView showGridLines="0" workbookViewId="0"/>
  </sheetViews>
  <sheetFormatPr defaultRowHeight="15"/>
  <cols>
    <col min="1" max="1" width="3" hidden="0" customWidth="1"/>
    <col min="2" max="2" width="29" hidden="0" customWidth="1"/>
    <col min="3" max="3" width="10.5" hidden="0" customWidth="1"/>
    <col min="4" max="4" width="10.5" hidden="0" customWidth="1"/>
    <col min="5" max="5" width="10.5" hidden="0" customWidth="1"/>
    <col min="6" max="6" width="10.5" hidden="0" customWidth="1"/>
    <col min="7" max="7" width="10.5" hidden="0" customWidth="1"/>
    <col min="8" max="8" width="10.5" hidden="0" customWidth="1"/>
    <col min="9" max="9" width="10.5" hidden="0" customWidth="1"/>
    <col min="10" max="10" width="10.5" hidden="0" customWidth="1"/>
    <col min="11" max="11" width="10.5" hidden="0" customWidth="1"/>
    <col min="12" max="12" width="10.5" hidden="0" customWidth="1"/>
    <col min="13" max="13" width="10.5" hidden="0" customWidth="1"/>
    <col min="14" max="14" width="10.5" hidden="0" customWidth="1"/>
    <col min="15" max="15" width="3" hidden="0" customWidth="1"/>
    <col min="16" max="16" width="15" hidden="0" customWidth="1"/>
    <col min="17" max="17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5"/>
    </row>
    <row r="2" ht="34" customHeight="1">
      <c r="A2" s="3"/>
      <c r="B2" s="4" t="str">
        <v>Billable utilisation tracker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5"/>
    </row>
    <row r="3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5"/>
    </row>
    <row r="4" ht="23" customHeight="1">
      <c r="A4" s="3"/>
      <c r="B4" s="3" t="str">
        <v>Year</v>
      </c>
      <c r="C4" s="201" t="n">
        <v>2027</v>
      </c>
      <c r="D4" s="3"/>
      <c r="E4" s="3" t="str">
        <v>Name</v>
      </c>
      <c r="F4" s="202" t="str">
        <v>Enter your name</v>
      </c>
      <c r="G4" s="203"/>
      <c r="H4" s="203"/>
      <c r="I4" s="203"/>
      <c r="J4" s="204"/>
      <c r="K4" s="3"/>
      <c r="L4" s="3" t="str">
        <v>Target</v>
      </c>
      <c r="M4" s="3"/>
      <c r="N4" s="205" t="n">
        <v>0.75</v>
      </c>
      <c r="O4" s="3"/>
      <c r="P4" s="3"/>
      <c r="Q4" s="55"/>
    </row>
    <row r="5" ht="23" customHeight="1">
      <c r="A5" s="3"/>
      <c r="B5" s="3" t="str">
        <v>Hours per working day</v>
      </c>
      <c r="C5" s="201" t="n">
        <v>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5"/>
    </row>
    <row r="6" ht="2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5"/>
    </row>
    <row r="7" ht="23" customHeight="1">
      <c r="A7" s="3"/>
      <c r="B7" s="3" t="str">
        <v>Monthly results include months marked Actual or Forecast. Not started months stay blank. Use the status row to distinguish them.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55"/>
    </row>
    <row r="8" ht="23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5"/>
    </row>
    <row r="9" ht="28" customHeight="1">
      <c r="A9" s="3"/>
      <c r="B9" s="206" t="str">
        <v>Billable results</v>
      </c>
      <c r="C9" s="68" t="str">
        <v>Jan</v>
      </c>
      <c r="D9" s="68" t="str">
        <v>Feb</v>
      </c>
      <c r="E9" s="68" t="str">
        <v>Mar</v>
      </c>
      <c r="F9" s="68" t="str">
        <v>Apr</v>
      </c>
      <c r="G9" s="68" t="str">
        <v>May</v>
      </c>
      <c r="H9" s="68" t="str">
        <v>Jun</v>
      </c>
      <c r="I9" s="68" t="str">
        <v>Jul</v>
      </c>
      <c r="J9" s="68" t="str">
        <v>Aug</v>
      </c>
      <c r="K9" s="68" t="str">
        <v>Sep</v>
      </c>
      <c r="L9" s="68" t="str">
        <v>Oct</v>
      </c>
      <c r="M9" s="68" t="str">
        <v>Nov</v>
      </c>
      <c r="N9" s="69" t="str">
        <v>Dec</v>
      </c>
      <c r="O9" s="3"/>
      <c r="P9" s="3"/>
      <c r="Q9" s="55"/>
    </row>
    <row r="10" ht="23" customHeight="1">
      <c r="A10" s="3"/>
      <c r="B10" s="207" t="str">
        <v>Month status</v>
      </c>
      <c r="C10" s="58" t="str">
        <f>'Jan'!C2</f>
        <v>Not started</v>
      </c>
      <c r="D10" s="58" t="str">
        <f>'Feb'!C2</f>
        <v>Not started</v>
      </c>
      <c r="E10" s="58" t="str">
        <f>'Mar'!C2</f>
        <v>Not started</v>
      </c>
      <c r="F10" s="58" t="str">
        <f>'Apr'!C2</f>
        <v>Not started</v>
      </c>
      <c r="G10" s="58" t="str">
        <f>'May'!C2</f>
        <v>Not started</v>
      </c>
      <c r="H10" s="58" t="str">
        <f>'Jun'!C2</f>
        <v>Not started</v>
      </c>
      <c r="I10" s="58" t="str">
        <f>'Jul'!C2</f>
        <v>Not started</v>
      </c>
      <c r="J10" s="58" t="str">
        <f>'Aug'!C2</f>
        <v>Not started</v>
      </c>
      <c r="K10" s="58" t="str">
        <f>'Sep'!C2</f>
        <v>Not started</v>
      </c>
      <c r="L10" s="58" t="str">
        <f>'Oct'!C2</f>
        <v>Not started</v>
      </c>
      <c r="M10" s="58" t="str">
        <f>'Nov'!C2</f>
        <v>Not started</v>
      </c>
      <c r="N10" s="58" t="str">
        <f>'Dec'!C2</f>
        <v>Not started</v>
      </c>
      <c r="O10" s="3"/>
      <c r="P10" s="3"/>
      <c r="Q10" s="55"/>
    </row>
    <row r="11" ht="23" customHeight="1">
      <c r="A11" s="3"/>
      <c r="B11" s="207" t="str">
        <v>Available hours</v>
      </c>
      <c r="C11" s="59" t="str">
        <f>IF(OR(C10="Not started",C17&lt;&gt;"OK"),"",'Jan'!I41)</f>
      </c>
      <c r="D11" s="59" t="str">
        <f>IF(OR(D10="Not started",D17&lt;&gt;"OK"),"",'Feb'!I41)</f>
      </c>
      <c r="E11" s="59" t="str">
        <f>IF(OR(E10="Not started",E17&lt;&gt;"OK"),"",'Mar'!I41)</f>
      </c>
      <c r="F11" s="59" t="str">
        <f>IF(OR(F10="Not started",F17&lt;&gt;"OK"),"",'Apr'!I41)</f>
      </c>
      <c r="G11" s="59" t="str">
        <f>IF(OR(G10="Not started",G17&lt;&gt;"OK"),"",'May'!I41)</f>
      </c>
      <c r="H11" s="59" t="str">
        <f>IF(OR(H10="Not started",H17&lt;&gt;"OK"),"",'Jun'!I41)</f>
      </c>
      <c r="I11" s="59" t="str">
        <f>IF(OR(I10="Not started",I17&lt;&gt;"OK"),"",'Jul'!I41)</f>
      </c>
      <c r="J11" s="59" t="str">
        <f>IF(OR(J10="Not started",J17&lt;&gt;"OK"),"",'Aug'!I41)</f>
      </c>
      <c r="K11" s="59" t="str">
        <f>IF(OR(K10="Not started",K17&lt;&gt;"OK"),"",'Sep'!I41)</f>
      </c>
      <c r="L11" s="59" t="str">
        <f>IF(OR(L10="Not started",L17&lt;&gt;"OK"),"",'Oct'!I41)</f>
      </c>
      <c r="M11" s="59" t="str">
        <f>IF(OR(M10="Not started",M17&lt;&gt;"OK"),"",'Nov'!I41)</f>
      </c>
      <c r="N11" s="59" t="str">
        <f>IF(OR(N10="Not started",N17&lt;&gt;"OK"),"",'Dec'!I41)</f>
      </c>
      <c r="O11" s="3"/>
      <c r="P11" s="3"/>
      <c r="Q11" s="55"/>
    </row>
    <row r="12" ht="23" customHeight="1">
      <c r="A12" s="3"/>
      <c r="B12" s="207" t="str">
        <v>Billable hours</v>
      </c>
      <c r="C12" s="59" t="str">
        <f>IF(OR(C10="Not started",C17&lt;&gt;"OK"),"",'Jan'!I42)</f>
      </c>
      <c r="D12" s="59" t="str">
        <f>IF(OR(D10="Not started",D17&lt;&gt;"OK"),"",'Feb'!I42)</f>
      </c>
      <c r="E12" s="59" t="str">
        <f>IF(OR(E10="Not started",E17&lt;&gt;"OK"),"",'Mar'!I42)</f>
      </c>
      <c r="F12" s="59" t="str">
        <f>IF(OR(F10="Not started",F17&lt;&gt;"OK"),"",'Apr'!I42)</f>
      </c>
      <c r="G12" s="59" t="str">
        <f>IF(OR(G10="Not started",G17&lt;&gt;"OK"),"",'May'!I42)</f>
      </c>
      <c r="H12" s="59" t="str">
        <f>IF(OR(H10="Not started",H17&lt;&gt;"OK"),"",'Jun'!I42)</f>
      </c>
      <c r="I12" s="59" t="str">
        <f>IF(OR(I10="Not started",I17&lt;&gt;"OK"),"",'Jul'!I42)</f>
      </c>
      <c r="J12" s="59" t="str">
        <f>IF(OR(J10="Not started",J17&lt;&gt;"OK"),"",'Aug'!I42)</f>
      </c>
      <c r="K12" s="59" t="str">
        <f>IF(OR(K10="Not started",K17&lt;&gt;"OK"),"",'Sep'!I42)</f>
      </c>
      <c r="L12" s="59" t="str">
        <f>IF(OR(L10="Not started",L17&lt;&gt;"OK"),"",'Oct'!I42)</f>
      </c>
      <c r="M12" s="59" t="str">
        <f>IF(OR(M10="Not started",M17&lt;&gt;"OK"),"",'Nov'!I42)</f>
      </c>
      <c r="N12" s="59" t="str">
        <f>IF(OR(N10="Not started",N17&lt;&gt;"OK"),"",'Dec'!I42)</f>
      </c>
      <c r="O12" s="3"/>
      <c r="P12" s="3"/>
      <c r="Q12" s="55"/>
    </row>
    <row r="13" ht="23" customHeight="1">
      <c r="A13" s="3"/>
      <c r="B13" s="207" t="str">
        <v>Utilisation target</v>
      </c>
      <c r="C13" s="60" t="n">
        <f>$N$4</f>
        <v>0.75</v>
      </c>
      <c r="D13" s="60" t="n">
        <f>$N$4</f>
        <v>0.75</v>
      </c>
      <c r="E13" s="60" t="n">
        <f>$N$4</f>
        <v>0.75</v>
      </c>
      <c r="F13" s="60" t="n">
        <f>$N$4</f>
        <v>0.75</v>
      </c>
      <c r="G13" s="60" t="n">
        <f>$N$4</f>
        <v>0.75</v>
      </c>
      <c r="H13" s="60" t="n">
        <f>$N$4</f>
        <v>0.75</v>
      </c>
      <c r="I13" s="60" t="n">
        <f>$N$4</f>
        <v>0.75</v>
      </c>
      <c r="J13" s="60" t="n">
        <f>$N$4</f>
        <v>0.75</v>
      </c>
      <c r="K13" s="60" t="n">
        <f>$N$4</f>
        <v>0.75</v>
      </c>
      <c r="L13" s="60" t="n">
        <f>$N$4</f>
        <v>0.75</v>
      </c>
      <c r="M13" s="60" t="n">
        <f>$N$4</f>
        <v>0.75</v>
      </c>
      <c r="N13" s="60" t="n">
        <f>$N$4</f>
        <v>0.75</v>
      </c>
      <c r="O13" s="3"/>
      <c r="P13" s="3"/>
      <c r="Q13" s="55"/>
    </row>
    <row r="14" ht="23" customHeight="1">
      <c r="A14" s="3"/>
      <c r="B14" s="208" t="str">
        <v>Utilisation</v>
      </c>
      <c r="C14" s="71" t="str">
        <f>IF(OR(C10="Not started",C17&lt;&gt;"OK"),"",'Jan'!I43)</f>
      </c>
      <c r="D14" s="71" t="str">
        <f>IF(OR(D10="Not started",D17&lt;&gt;"OK"),"",'Feb'!I43)</f>
      </c>
      <c r="E14" s="71" t="str">
        <f>IF(OR(E10="Not started",E17&lt;&gt;"OK"),"",'Mar'!I43)</f>
      </c>
      <c r="F14" s="71" t="str">
        <f>IF(OR(F10="Not started",F17&lt;&gt;"OK"),"",'Apr'!I43)</f>
      </c>
      <c r="G14" s="71" t="str">
        <f>IF(OR(G10="Not started",G17&lt;&gt;"OK"),"",'May'!I43)</f>
      </c>
      <c r="H14" s="71" t="str">
        <f>IF(OR(H10="Not started",H17&lt;&gt;"OK"),"",'Jun'!I43)</f>
      </c>
      <c r="I14" s="71" t="str">
        <f>IF(OR(I10="Not started",I17&lt;&gt;"OK"),"",'Jul'!I43)</f>
      </c>
      <c r="J14" s="71" t="str">
        <f>IF(OR(J10="Not started",J17&lt;&gt;"OK"),"",'Aug'!I43)</f>
      </c>
      <c r="K14" s="71" t="str">
        <f>IF(OR(K10="Not started",K17&lt;&gt;"OK"),"",'Sep'!I43)</f>
      </c>
      <c r="L14" s="71" t="str">
        <f>IF(OR(L10="Not started",L17&lt;&gt;"OK"),"",'Oct'!I43)</f>
      </c>
      <c r="M14" s="71" t="str">
        <f>IF(OR(M10="Not started",M17&lt;&gt;"OK"),"",'Nov'!I43)</f>
      </c>
      <c r="N14" s="71" t="str">
        <f>IF(OR(N10="Not started",N17&lt;&gt;"OK"),"",'Dec'!I43)</f>
      </c>
      <c r="O14" s="3"/>
      <c r="P14" s="3"/>
      <c r="Q14" s="55"/>
    </row>
    <row r="15" ht="23" customHeight="1">
      <c r="A15" s="3"/>
      <c r="B15" s="207" t="str">
        <v>Achievement to target</v>
      </c>
      <c r="C15" s="60" t="str">
        <f>IF(OR(C10="Not started",C17&lt;&gt;"OK"),"",'Jan'!I45)</f>
      </c>
      <c r="D15" s="60" t="str">
        <f>IF(OR(D10="Not started",D17&lt;&gt;"OK"),"",'Feb'!I45)</f>
      </c>
      <c r="E15" s="60" t="str">
        <f>IF(OR(E10="Not started",E17&lt;&gt;"OK"),"",'Mar'!I45)</f>
      </c>
      <c r="F15" s="60" t="str">
        <f>IF(OR(F10="Not started",F17&lt;&gt;"OK"),"",'Apr'!I45)</f>
      </c>
      <c r="G15" s="60" t="str">
        <f>IF(OR(G10="Not started",G17&lt;&gt;"OK"),"",'May'!I45)</f>
      </c>
      <c r="H15" s="60" t="str">
        <f>IF(OR(H10="Not started",H17&lt;&gt;"OK"),"",'Jun'!I45)</f>
      </c>
      <c r="I15" s="60" t="str">
        <f>IF(OR(I10="Not started",I17&lt;&gt;"OK"),"",'Jul'!I45)</f>
      </c>
      <c r="J15" s="60" t="str">
        <f>IF(OR(J10="Not started",J17&lt;&gt;"OK"),"",'Aug'!I45)</f>
      </c>
      <c r="K15" s="60" t="str">
        <f>IF(OR(K10="Not started",K17&lt;&gt;"OK"),"",'Sep'!I45)</f>
      </c>
      <c r="L15" s="60" t="str">
        <f>IF(OR(L10="Not started",L17&lt;&gt;"OK"),"",'Oct'!I45)</f>
      </c>
      <c r="M15" s="60" t="str">
        <f>IF(OR(M10="Not started",M17&lt;&gt;"OK"),"",'Nov'!I45)</f>
      </c>
      <c r="N15" s="60" t="str">
        <f>IF(OR(N10="Not started",N17&lt;&gt;"OK"),"",'Dec'!I45)</f>
      </c>
      <c r="O15" s="3"/>
      <c r="P15" s="3"/>
      <c r="Q15" s="55"/>
    </row>
    <row r="16" ht="23" customHeight="1">
      <c r="A16" s="3"/>
      <c r="B16" s="207" t="str">
        <v>Hours to target</v>
      </c>
      <c r="C16" s="59" t="str">
        <f>IF(OR(C10="Not started",C17&lt;&gt;"OK"),"",'Jan'!U45)</f>
      </c>
      <c r="D16" s="59" t="str">
        <f>IF(OR(D10="Not started",D17&lt;&gt;"OK"),"",'Feb'!U45)</f>
      </c>
      <c r="E16" s="59" t="str">
        <f>IF(OR(E10="Not started",E17&lt;&gt;"OK"),"",'Mar'!U45)</f>
      </c>
      <c r="F16" s="59" t="str">
        <f>IF(OR(F10="Not started",F17&lt;&gt;"OK"),"",'Apr'!U45)</f>
      </c>
      <c r="G16" s="59" t="str">
        <f>IF(OR(G10="Not started",G17&lt;&gt;"OK"),"",'May'!U45)</f>
      </c>
      <c r="H16" s="59" t="str">
        <f>IF(OR(H10="Not started",H17&lt;&gt;"OK"),"",'Jun'!U45)</f>
      </c>
      <c r="I16" s="59" t="str">
        <f>IF(OR(I10="Not started",I17&lt;&gt;"OK"),"",'Jul'!U45)</f>
      </c>
      <c r="J16" s="59" t="str">
        <f>IF(OR(J10="Not started",J17&lt;&gt;"OK"),"",'Aug'!U45)</f>
      </c>
      <c r="K16" s="59" t="str">
        <f>IF(OR(K10="Not started",K17&lt;&gt;"OK"),"",'Sep'!U45)</f>
      </c>
      <c r="L16" s="59" t="str">
        <f>IF(OR(L10="Not started",L17&lt;&gt;"OK"),"",'Oct'!U45)</f>
      </c>
      <c r="M16" s="59" t="str">
        <f>IF(OR(M10="Not started",M17&lt;&gt;"OK"),"",'Nov'!U45)</f>
      </c>
      <c r="N16" s="59" t="str">
        <f>IF(OR(N10="Not started",N17&lt;&gt;"OK"),"",'Dec'!U45)</f>
      </c>
      <c r="O16" s="3"/>
      <c r="P16" s="3"/>
      <c r="Q16" s="55"/>
    </row>
    <row r="17" ht="34" customHeight="1">
      <c r="A17" s="3"/>
      <c r="B17" s="207" t="str">
        <v>Input status</v>
      </c>
      <c r="C17" s="61" t="str">
        <f>IF(C10="Not started","",'Jan'!B51)</f>
      </c>
      <c r="D17" s="61" t="str">
        <f>IF(D10="Not started","",'Feb'!B51)</f>
      </c>
      <c r="E17" s="61" t="str">
        <f>IF(E10="Not started","",'Mar'!B51)</f>
      </c>
      <c r="F17" s="61" t="str">
        <f>IF(F10="Not started","",'Apr'!B51)</f>
      </c>
      <c r="G17" s="61" t="str">
        <f>IF(G10="Not started","",'May'!B51)</f>
      </c>
      <c r="H17" s="61" t="str">
        <f>IF(H10="Not started","",'Jun'!B51)</f>
      </c>
      <c r="I17" s="61" t="str">
        <f>IF(I10="Not started","",'Jul'!B51)</f>
      </c>
      <c r="J17" s="61" t="str">
        <f>IF(J10="Not started","",'Aug'!B51)</f>
      </c>
      <c r="K17" s="61" t="str">
        <f>IF(K10="Not started","",'Sep'!B51)</f>
      </c>
      <c r="L17" s="61" t="str">
        <f>IF(L10="Not started","",'Oct'!B51)</f>
      </c>
      <c r="M17" s="61" t="str">
        <f>IF(M10="Not started","",'Nov'!B51)</f>
      </c>
      <c r="N17" s="61" t="str">
        <f>IF(N10="Not started","",'Dec'!B51)</f>
      </c>
      <c r="O17" s="3"/>
      <c r="P17" s="3"/>
      <c r="Q17" s="55"/>
    </row>
    <row r="18" ht="23" customHeight="1">
      <c r="A18" s="3"/>
      <c r="B18" s="6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5"/>
    </row>
    <row r="19" ht="23" customHeight="1">
      <c r="A19" s="3"/>
      <c r="B19" s="6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5"/>
    </row>
    <row r="20" ht="28" customHeight="1">
      <c r="A20" s="3"/>
      <c r="B20" s="67"/>
      <c r="C20" s="94" t="str">
        <v>Q1</v>
      </c>
      <c r="D20" s="95"/>
      <c r="E20" s="96"/>
      <c r="F20" s="94" t="str">
        <v>Q2</v>
      </c>
      <c r="G20" s="95"/>
      <c r="H20" s="96"/>
      <c r="I20" s="94" t="str">
        <v>Q3</v>
      </c>
      <c r="J20" s="95"/>
      <c r="K20" s="96"/>
      <c r="L20" s="94" t="str">
        <v>Q4</v>
      </c>
      <c r="M20" s="95"/>
      <c r="N20" s="96"/>
      <c r="O20" s="3"/>
      <c r="P20" s="105" t="str">
        <v>Year</v>
      </c>
      <c r="Q20" s="55"/>
    </row>
    <row r="21" ht="23" customHeight="1">
      <c r="A21" s="3"/>
      <c r="B21" s="209" t="str">
        <v>Available hours</v>
      </c>
      <c r="C21" s="85" t="str">
        <f>IF(COUNT(C11:E11)=0,"",SUM(C11:E11))</f>
      </c>
      <c r="D21" s="86"/>
      <c r="E21" s="87"/>
      <c r="F21" s="85" t="str">
        <f>IF(COUNT(F11:H11)=0,"",SUM(F11:H11))</f>
      </c>
      <c r="G21" s="86"/>
      <c r="H21" s="87"/>
      <c r="I21" s="85" t="str">
        <f>IF(COUNT(I11:K11)=0,"",SUM(I11:K11))</f>
      </c>
      <c r="J21" s="86"/>
      <c r="K21" s="87"/>
      <c r="L21" s="85" t="str">
        <f>IF(COUNT(L11:N11)=0,"",SUM(L11:N11))</f>
      </c>
      <c r="M21" s="86"/>
      <c r="N21" s="87"/>
      <c r="O21" s="3"/>
      <c r="P21" s="102" t="str">
        <f>IF(COUNT(C11:N11)=0,"",SUM(C11:N11))</f>
      </c>
      <c r="Q21" s="55"/>
    </row>
    <row r="22" ht="23" customHeight="1">
      <c r="A22" s="3"/>
      <c r="B22" s="210" t="str">
        <v>Billable hours</v>
      </c>
      <c r="C22" s="85" t="str">
        <f>IF(C21="","",SUM(C12:E12))</f>
      </c>
      <c r="D22" s="86"/>
      <c r="E22" s="87"/>
      <c r="F22" s="85" t="str">
        <f>IF(F21="","",SUM(F12:H12))</f>
      </c>
      <c r="G22" s="86"/>
      <c r="H22" s="87"/>
      <c r="I22" s="85" t="str">
        <f>IF(I21="","",SUM(I12:K12))</f>
      </c>
      <c r="J22" s="86"/>
      <c r="K22" s="87"/>
      <c r="L22" s="85" t="str">
        <f>IF(L21="","",SUM(L12:N12))</f>
      </c>
      <c r="M22" s="86"/>
      <c r="N22" s="87"/>
      <c r="O22" s="3"/>
      <c r="P22" s="102" t="str">
        <f>IF(P21="","",SUM(C12:N12))</f>
      </c>
      <c r="Q22" s="55"/>
    </row>
    <row r="23" ht="23" customHeight="1">
      <c r="A23" s="3"/>
      <c r="B23" s="210" t="str">
        <v>Utilisation target</v>
      </c>
      <c r="C23" s="88" t="n">
        <f>$N$4</f>
        <v>0.75</v>
      </c>
      <c r="D23" s="89"/>
      <c r="E23" s="90"/>
      <c r="F23" s="88" t="n">
        <f>$N$4</f>
        <v>0.75</v>
      </c>
      <c r="G23" s="89"/>
      <c r="H23" s="90"/>
      <c r="I23" s="88" t="n">
        <f>$N$4</f>
        <v>0.75</v>
      </c>
      <c r="J23" s="89"/>
      <c r="K23" s="90"/>
      <c r="L23" s="88" t="n">
        <f>$N$4</f>
        <v>0.75</v>
      </c>
      <c r="M23" s="89"/>
      <c r="N23" s="90"/>
      <c r="O23" s="3"/>
      <c r="P23" s="103" t="n">
        <f>$N$4</f>
        <v>0.75</v>
      </c>
      <c r="Q23" s="55"/>
    </row>
    <row r="24" ht="23" customHeight="1">
      <c r="A24" s="3"/>
      <c r="B24" s="210" t="str">
        <v>Utilisation</v>
      </c>
      <c r="C24" s="88" t="str">
        <f>IF(C21="","",IF(C21=0,"n.a.",C22/C21))</f>
      </c>
      <c r="D24" s="89"/>
      <c r="E24" s="90"/>
      <c r="F24" s="88" t="str">
        <f>IF(F21="","",IF(F21=0,"n.a.",F22/F21))</f>
      </c>
      <c r="G24" s="89"/>
      <c r="H24" s="90"/>
      <c r="I24" s="88" t="str">
        <f>IF(I21="","",IF(I21=0,"n.a.",I22/I21))</f>
      </c>
      <c r="J24" s="89"/>
      <c r="K24" s="90"/>
      <c r="L24" s="88" t="str">
        <f>IF(L21="","",IF(L21=0,"n.a.",L22/L21))</f>
      </c>
      <c r="M24" s="89"/>
      <c r="N24" s="90"/>
      <c r="O24" s="3"/>
      <c r="P24" s="103" t="str">
        <f>IF(P21="","",IF(P21=0,"n.a.",P22/P21))</f>
      </c>
      <c r="Q24" s="55"/>
    </row>
    <row r="25" ht="23" customHeight="1">
      <c r="A25" s="3"/>
      <c r="B25" s="210" t="str">
        <v>Achievement to target</v>
      </c>
      <c r="C25" s="88" t="str">
        <f>IF(ISNUMBER(C24),C24/C23,"")</f>
      </c>
      <c r="D25" s="89"/>
      <c r="E25" s="90"/>
      <c r="F25" s="88" t="str">
        <f>IF(ISNUMBER(F24),F24/F23,"")</f>
      </c>
      <c r="G25" s="89"/>
      <c r="H25" s="90"/>
      <c r="I25" s="88" t="str">
        <f>IF(ISNUMBER(I24),I24/I23,"")</f>
      </c>
      <c r="J25" s="89"/>
      <c r="K25" s="90"/>
      <c r="L25" s="88" t="str">
        <f>IF(ISNUMBER(L24),L24/L23,"")</f>
      </c>
      <c r="M25" s="89"/>
      <c r="N25" s="90"/>
      <c r="O25" s="3"/>
      <c r="P25" s="103" t="str">
        <f>IF(ISNUMBER(P24),P24/P23,"")</f>
      </c>
      <c r="Q25" s="55"/>
    </row>
    <row r="26" ht="23" customHeight="1">
      <c r="A26" s="3"/>
      <c r="B26" s="210" t="str">
        <v>Hours to target</v>
      </c>
      <c r="C26" s="85" t="str">
        <f>IF(C21="","",MAX(0,C21*C23-C22))</f>
      </c>
      <c r="D26" s="86"/>
      <c r="E26" s="87"/>
      <c r="F26" s="85" t="str">
        <f>IF(F21="","",MAX(0,F21*F23-F22))</f>
      </c>
      <c r="G26" s="86"/>
      <c r="H26" s="87"/>
      <c r="I26" s="85" t="str">
        <f>IF(I21="","",MAX(0,I21*I23-I22))</f>
      </c>
      <c r="J26" s="86"/>
      <c r="K26" s="87"/>
      <c r="L26" s="85" t="str">
        <f>IF(L21="","",MAX(0,L21*L23-L22))</f>
      </c>
      <c r="M26" s="86"/>
      <c r="N26" s="87"/>
      <c r="O26" s="3"/>
      <c r="P26" s="102" t="str">
        <f>IF(P21="","",MAX(0,P21*P23-P22))</f>
      </c>
      <c r="Q26" s="55"/>
    </row>
    <row r="27" ht="32" customHeight="1">
      <c r="A27" s="3"/>
      <c r="B27" s="211" t="str">
        <v>Coverage</v>
      </c>
      <c r="C27" s="91" t="str">
        <f>IF(COUNTIFS(C17:E17,"Check*")&gt;0,"Check month inputs",IF(COUNTIFS(C10:E10,"Forecast")&gt;0,"Includes forecast",IF(COUNTIFS(C10:E10,"Actual")&gt;0,"Actual months only","Not started")))</f>
        <v>Not started</v>
      </c>
      <c r="D27" s="92"/>
      <c r="E27" s="93"/>
      <c r="F27" s="91" t="str">
        <f>IF(COUNTIFS(F17:H17,"Check*")&gt;0,"Check month inputs",IF(COUNTIFS(F10:H10,"Forecast")&gt;0,"Includes forecast",IF(COUNTIFS(F10:H10,"Actual")&gt;0,"Actual months only","Not started")))</f>
        <v>Not started</v>
      </c>
      <c r="G27" s="92"/>
      <c r="H27" s="93"/>
      <c r="I27" s="91" t="str">
        <f>IF(COUNTIFS(I17:K17,"Check*")&gt;0,"Check month inputs",IF(COUNTIFS(I10:K10,"Forecast")&gt;0,"Includes forecast",IF(COUNTIFS(I10:K10,"Actual")&gt;0,"Actual months only","Not started")))</f>
        <v>Not started</v>
      </c>
      <c r="J27" s="92"/>
      <c r="K27" s="93"/>
      <c r="L27" s="91" t="str">
        <f>IF(COUNTIFS(L17:N17,"Check*")&gt;0,"Check month inputs",IF(COUNTIFS(L10:N10,"Forecast")&gt;0,"Includes forecast",IF(COUNTIFS(L10:N10,"Actual")&gt;0,"Actual months only","Not started")))</f>
        <v>Not started</v>
      </c>
      <c r="M27" s="92"/>
      <c r="N27" s="93"/>
      <c r="O27" s="3"/>
      <c r="P27" s="104" t="str">
        <f>IF(COUNTIFS(C17:N17,"Check*")&gt;0,"Check months",IF(COUNTIFS(C10:N10,"Forecast")&gt;0,"Includes forecast",IF(COUNTIFS(C10:N10,"Actual")&gt;0,"Actual months","Not started")))</f>
        <v>Not started</v>
      </c>
      <c r="Q27" s="55"/>
    </row>
    <row r="28" ht="2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5"/>
    </row>
    <row r="29" ht="2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5"/>
    </row>
    <row r="30" ht="23" customHeight="1">
      <c r="A30" s="3"/>
      <c r="B30" s="3" t="str">
        <v>1. Enter your name, year and daily working hours above. Each person uses their own copy, with a default billable target of 75%.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5"/>
    </row>
    <row r="31" ht="23" customHeight="1">
      <c r="A31" s="3"/>
      <c r="B31" s="3" t="str">
        <v>2. Open a month. Enter customer/project names and hours in the day grid. Set its status to Actual or Forecast when it is ready to report.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5"/>
    </row>
    <row r="32" ht="23" customHeight="1">
      <c r="A32" s="3"/>
      <c r="B32" s="3" t="str">
        <v>3. Enter company holiday and PTO days below that month’s grid. Fractional days are allowed. Do not count the same absence twice.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5"/>
    </row>
    <row r="33" ht="23" customHeight="1">
      <c r="A33" s="3"/>
      <c r="B33" s="3" t="str">
        <v>4. Keep billable work, concessions/work at risk and overruns in their separate sections. An hour should appear only once.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5"/>
    </row>
    <row r="34" ht="2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5"/>
    </row>
    <row r="35" ht="23" customHeight="1">
      <c r="A35" s="3"/>
      <c r="B35" s="3" t="str">
        <v>Available hours = (scheduled workdays − company holiday days − PTO days) × daily hours. Default workdays are Monday to Friday.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5"/>
    </row>
    <row r="36" ht="23" customHeight="1">
      <c r="A36" s="3"/>
      <c r="B36" s="3" t="str">
        <v>Quarterly and yearly utilisation = total reported hours ÷ total available hours for the included months. Percentages are not averaged.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5"/>
    </row>
    <row r="37" ht="23" customHeight="1">
      <c r="A37" s="3"/>
      <c r="B37" s="3" t="str">
        <v>Start a fresh copy for a new year. Changing the year updates dates but does not clear hours. Scheduled workdays can be adjusted on each month.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5"/>
    </row>
    <row r="38" ht="23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5"/>
    </row>
    <row r="39">
      <c r="Q39" s="55"/>
    </row>
  </sheetData>
  <mergeCells>
    <mergeCell ref="B2:P2"/>
    <mergeCell ref="F4:J4"/>
    <mergeCell ref="L4:M4"/>
    <mergeCell ref="B7:P7"/>
    <mergeCell ref="C20:E20"/>
    <mergeCell ref="C21:E21"/>
    <mergeCell ref="C22:E22"/>
    <mergeCell ref="C23:E23"/>
    <mergeCell ref="C24:E24"/>
    <mergeCell ref="C25:E25"/>
    <mergeCell ref="C26:E26"/>
    <mergeCell ref="C27:E27"/>
    <mergeCell ref="F20:H20"/>
    <mergeCell ref="F21:H21"/>
    <mergeCell ref="F22:H22"/>
    <mergeCell ref="F23:H23"/>
    <mergeCell ref="F24:H24"/>
    <mergeCell ref="F25:H25"/>
    <mergeCell ref="F26:H26"/>
    <mergeCell ref="F27:H27"/>
    <mergeCell ref="I20:K20"/>
    <mergeCell ref="I21:K21"/>
    <mergeCell ref="I22:K22"/>
    <mergeCell ref="I23:K23"/>
    <mergeCell ref="I24:K24"/>
    <mergeCell ref="I25:K25"/>
    <mergeCell ref="I26:K26"/>
    <mergeCell ref="I27:K27"/>
    <mergeCell ref="L20:N20"/>
    <mergeCell ref="L21:N21"/>
    <mergeCell ref="L22:N22"/>
    <mergeCell ref="L23:N23"/>
    <mergeCell ref="L24:N24"/>
    <mergeCell ref="L25:N25"/>
    <mergeCell ref="L26:N26"/>
    <mergeCell ref="L27:N27"/>
    <mergeCell ref="B30:P30"/>
    <mergeCell ref="B31:P31"/>
    <mergeCell ref="B32:P32"/>
    <mergeCell ref="B33:P33"/>
    <mergeCell ref="B35:P35"/>
    <mergeCell ref="B36:P36"/>
    <mergeCell ref="B37:P37"/>
  </mergeCells>
  <conditionalFormatting sqref="C14:N14">
    <cfRule type="expression" dxfId="0" priority="1">
      <formula>AND(ISNUMBER(C14),C14&gt;=C13)</formula>
    </cfRule>
    <cfRule type="expression" dxfId="1" priority="2">
      <formula>AND(ISNUMBER(C14),C14&lt;C13)</formula>
    </cfRule>
  </conditionalFormatting>
  <conditionalFormatting sqref="C17:N17">
    <cfRule type="containsText" dxfId="2" priority="3" operator="containsText" text="Check"/>
    <cfRule type="containsText" dxfId="3" priority="4" operator="containsText" text="Invalid"/>
    <cfRule type="containsText" dxfId="4" priority="5" operator="containsText" text="Negative"/>
    <cfRule type="containsText" dxfId="5" priority="6" operator="containsText" text="Outside"/>
  </conditionalFormatting>
  <conditionalFormatting sqref="C27:E27">
    <cfRule type="containsText" dxfId="6" priority="7" operator="containsText" text="Check"/>
    <cfRule type="containsText" dxfId="7" priority="8" operator="containsText" text="Invalid"/>
    <cfRule type="containsText" dxfId="8" priority="9" operator="containsText" text="Negative"/>
    <cfRule type="containsText" dxfId="9" priority="10" operator="containsText" text="Outside"/>
  </conditionalFormatting>
  <conditionalFormatting sqref="F27:H27">
    <cfRule type="containsText" dxfId="10" priority="11" operator="containsText" text="Check"/>
    <cfRule type="containsText" dxfId="11" priority="12" operator="containsText" text="Invalid"/>
    <cfRule type="containsText" dxfId="12" priority="13" operator="containsText" text="Negative"/>
    <cfRule type="containsText" dxfId="13" priority="14" operator="containsText" text="Outside"/>
  </conditionalFormatting>
  <conditionalFormatting sqref="I27:K27">
    <cfRule type="containsText" dxfId="14" priority="15" operator="containsText" text="Check"/>
    <cfRule type="containsText" dxfId="15" priority="16" operator="containsText" text="Invalid"/>
    <cfRule type="containsText" dxfId="16" priority="17" operator="containsText" text="Negative"/>
    <cfRule type="containsText" dxfId="17" priority="18" operator="containsText" text="Outside"/>
  </conditionalFormatting>
  <conditionalFormatting sqref="L27:N27">
    <cfRule type="containsText" dxfId="18" priority="19" operator="containsText" text="Check"/>
    <cfRule type="containsText" dxfId="19" priority="20" operator="containsText" text="Invalid"/>
    <cfRule type="containsText" dxfId="20" priority="21" operator="containsText" text="Negative"/>
    <cfRule type="containsText" dxfId="21" priority="22" operator="containsText" text="Outside"/>
  </conditionalFormatting>
  <conditionalFormatting sqref="P27:P27">
    <cfRule type="containsText" dxfId="22" priority="23" operator="containsText" text="Check"/>
    <cfRule type="containsText" dxfId="23" priority="24" operator="containsText" text="Invalid"/>
    <cfRule type="containsText" dxfId="24" priority="25" operator="containsText" text="Negative"/>
    <cfRule type="containsText" dxfId="25" priority="26" operator="containsText" text="Outside"/>
  </conditionalFormatting>
  <dataValidations count="3">
    <dataValidation type="decimal" operator="between" sqref="C5">
      <formula1>0.01</formula1>
      <formula2>24</formula2>
    </dataValidation>
    <dataValidation type="decimal" operator="between" sqref="N4">
      <formula1>0.01</formula1>
      <formula2>1</formula2>
    </dataValidation>
    <dataValidation type="whole" operator="between" sqref="C4">
      <formula1>2000</formula1>
      <formula2>2100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006053"/>
  </sheetPr>
  <sheetViews>
    <sheetView showGridLines="0" workbookViewId="0"/>
  </sheetViews>
  <sheetFormatPr defaultRowHeight="15"/>
  <cols>
    <col min="1" max="1" width="3" hidden="0" customWidth="1"/>
    <col min="2" max="2" width="29" hidden="0" customWidth="1"/>
    <col min="3" max="3" width="10.5" hidden="0" customWidth="1"/>
    <col min="4" max="4" width="10.5" hidden="0" customWidth="1"/>
    <col min="5" max="5" width="10.5" hidden="0" customWidth="1"/>
    <col min="6" max="6" width="10.5" hidden="0" customWidth="1"/>
    <col min="7" max="7" width="10.5" hidden="0" customWidth="1"/>
    <col min="8" max="8" width="10.5" hidden="0" customWidth="1"/>
    <col min="9" max="9" width="10.5" hidden="0" customWidth="1"/>
    <col min="10" max="10" width="10.5" hidden="0" customWidth="1"/>
    <col min="11" max="11" width="10.5" hidden="0" customWidth="1"/>
    <col min="12" max="12" width="10.5" hidden="0" customWidth="1"/>
    <col min="13" max="13" width="10.5" hidden="0" customWidth="1"/>
    <col min="14" max="14" width="10.5" hidden="0" customWidth="1"/>
    <col min="15" max="15" width="3" hidden="0" customWidth="1"/>
    <col min="16" max="16" width="15" hidden="0" customWidth="1"/>
    <col min="17" max="17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5"/>
    </row>
    <row r="2" ht="34" customHeight="1">
      <c r="A2" s="3"/>
      <c r="B2" s="4" t="str">
        <v>MBO utilisation summary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5"/>
    </row>
    <row r="3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5"/>
    </row>
    <row r="4" ht="23" customHeight="1">
      <c r="A4" s="3"/>
      <c r="B4" s="3" t="str">
        <v>Year</v>
      </c>
      <c r="C4" s="212" t="n">
        <f>'Billable summary'!C4</f>
        <v>2027</v>
      </c>
      <c r="D4" s="3"/>
      <c r="E4" s="3" t="str">
        <v>Name</v>
      </c>
      <c r="F4" s="213" t="str">
        <f>'Billable summary'!F4</f>
        <v>Enter your name</v>
      </c>
      <c r="G4" s="214"/>
      <c r="H4" s="214"/>
      <c r="I4" s="214"/>
      <c r="J4" s="215"/>
      <c r="K4" s="3"/>
      <c r="L4" s="3" t="str">
        <v>Target</v>
      </c>
      <c r="M4" s="3"/>
      <c r="N4" s="216" t="n">
        <f>'Billable summary'!N4</f>
        <v>0.75</v>
      </c>
      <c r="O4" s="3"/>
      <c r="P4" s="3"/>
      <c r="Q4" s="55"/>
    </row>
    <row r="5" ht="23" customHeight="1">
      <c r="A5" s="3"/>
      <c r="B5" s="3" t="str">
        <v>MBO hours include billable work, concessions, work at risk and project overruns.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5"/>
    </row>
    <row r="6" ht="2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5"/>
    </row>
    <row r="7" ht="23" customHeight="1">
      <c r="A7" s="3"/>
      <c r="B7" s="3" t="str">
        <v>Monthly results include months marked Actual or Forecast. Not started months stay blank. Use the status row to distinguish them.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55"/>
    </row>
    <row r="8" ht="23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5"/>
    </row>
    <row r="9" ht="28" customHeight="1">
      <c r="A9" s="3"/>
      <c r="B9" s="206" t="str">
        <v>MBO results</v>
      </c>
      <c r="C9" s="68" t="str">
        <v>Jan</v>
      </c>
      <c r="D9" s="68" t="str">
        <v>Feb</v>
      </c>
      <c r="E9" s="68" t="str">
        <v>Mar</v>
      </c>
      <c r="F9" s="68" t="str">
        <v>Apr</v>
      </c>
      <c r="G9" s="68" t="str">
        <v>May</v>
      </c>
      <c r="H9" s="68" t="str">
        <v>Jun</v>
      </c>
      <c r="I9" s="68" t="str">
        <v>Jul</v>
      </c>
      <c r="J9" s="68" t="str">
        <v>Aug</v>
      </c>
      <c r="K9" s="68" t="str">
        <v>Sep</v>
      </c>
      <c r="L9" s="68" t="str">
        <v>Oct</v>
      </c>
      <c r="M9" s="68" t="str">
        <v>Nov</v>
      </c>
      <c r="N9" s="69" t="str">
        <v>Dec</v>
      </c>
      <c r="O9" s="3"/>
      <c r="P9" s="3"/>
      <c r="Q9" s="55"/>
    </row>
    <row r="10" ht="23" customHeight="1">
      <c r="A10" s="3"/>
      <c r="B10" s="207" t="str">
        <v>Month status</v>
      </c>
      <c r="C10" s="58" t="str">
        <f>'Jan'!C2</f>
        <v>Not started</v>
      </c>
      <c r="D10" s="58" t="str">
        <f>'Feb'!C2</f>
        <v>Not started</v>
      </c>
      <c r="E10" s="58" t="str">
        <f>'Mar'!C2</f>
        <v>Not started</v>
      </c>
      <c r="F10" s="58" t="str">
        <f>'Apr'!C2</f>
        <v>Not started</v>
      </c>
      <c r="G10" s="58" t="str">
        <f>'May'!C2</f>
        <v>Not started</v>
      </c>
      <c r="H10" s="58" t="str">
        <f>'Jun'!C2</f>
        <v>Not started</v>
      </c>
      <c r="I10" s="58" t="str">
        <f>'Jul'!C2</f>
        <v>Not started</v>
      </c>
      <c r="J10" s="58" t="str">
        <f>'Aug'!C2</f>
        <v>Not started</v>
      </c>
      <c r="K10" s="58" t="str">
        <f>'Sep'!C2</f>
        <v>Not started</v>
      </c>
      <c r="L10" s="58" t="str">
        <f>'Oct'!C2</f>
        <v>Not started</v>
      </c>
      <c r="M10" s="58" t="str">
        <f>'Nov'!C2</f>
        <v>Not started</v>
      </c>
      <c r="N10" s="58" t="str">
        <f>'Dec'!C2</f>
        <v>Not started</v>
      </c>
      <c r="O10" s="3"/>
      <c r="P10" s="3"/>
      <c r="Q10" s="55"/>
    </row>
    <row r="11" ht="23" customHeight="1">
      <c r="A11" s="3"/>
      <c r="B11" s="207" t="str">
        <v>Available hours</v>
      </c>
      <c r="C11" s="59" t="str">
        <f>IF(OR(C10="Not started",C17&lt;&gt;"OK"),"",'Jan'!I41)</f>
      </c>
      <c r="D11" s="59" t="str">
        <f>IF(OR(D10="Not started",D17&lt;&gt;"OK"),"",'Feb'!I41)</f>
      </c>
      <c r="E11" s="59" t="str">
        <f>IF(OR(E10="Not started",E17&lt;&gt;"OK"),"",'Mar'!I41)</f>
      </c>
      <c r="F11" s="59" t="str">
        <f>IF(OR(F10="Not started",F17&lt;&gt;"OK"),"",'Apr'!I41)</f>
      </c>
      <c r="G11" s="59" t="str">
        <f>IF(OR(G10="Not started",G17&lt;&gt;"OK"),"",'May'!I41)</f>
      </c>
      <c r="H11" s="59" t="str">
        <f>IF(OR(H10="Not started",H17&lt;&gt;"OK"),"",'Jun'!I41)</f>
      </c>
      <c r="I11" s="59" t="str">
        <f>IF(OR(I10="Not started",I17&lt;&gt;"OK"),"",'Jul'!I41)</f>
      </c>
      <c r="J11" s="59" t="str">
        <f>IF(OR(J10="Not started",J17&lt;&gt;"OK"),"",'Aug'!I41)</f>
      </c>
      <c r="K11" s="59" t="str">
        <f>IF(OR(K10="Not started",K17&lt;&gt;"OK"),"",'Sep'!I41)</f>
      </c>
      <c r="L11" s="59" t="str">
        <f>IF(OR(L10="Not started",L17&lt;&gt;"OK"),"",'Oct'!I41)</f>
      </c>
      <c r="M11" s="59" t="str">
        <f>IF(OR(M10="Not started",M17&lt;&gt;"OK"),"",'Nov'!I41)</f>
      </c>
      <c r="N11" s="59" t="str">
        <f>IF(OR(N10="Not started",N17&lt;&gt;"OK"),"",'Dec'!I41)</f>
      </c>
      <c r="O11" s="3"/>
      <c r="P11" s="3"/>
      <c r="Q11" s="55"/>
    </row>
    <row r="12" ht="23" customHeight="1">
      <c r="A12" s="3"/>
      <c r="B12" s="207" t="str">
        <v>MBO hours</v>
      </c>
      <c r="C12" s="59" t="str">
        <f>IF(OR(C10="Not started",C17&lt;&gt;"OK"),"",'Jan'!U40)</f>
      </c>
      <c r="D12" s="59" t="str">
        <f>IF(OR(D10="Not started",D17&lt;&gt;"OK"),"",'Feb'!U40)</f>
      </c>
      <c r="E12" s="59" t="str">
        <f>IF(OR(E10="Not started",E17&lt;&gt;"OK"),"",'Mar'!U40)</f>
      </c>
      <c r="F12" s="59" t="str">
        <f>IF(OR(F10="Not started",F17&lt;&gt;"OK"),"",'Apr'!U40)</f>
      </c>
      <c r="G12" s="59" t="str">
        <f>IF(OR(G10="Not started",G17&lt;&gt;"OK"),"",'May'!U40)</f>
      </c>
      <c r="H12" s="59" t="str">
        <f>IF(OR(H10="Not started",H17&lt;&gt;"OK"),"",'Jun'!U40)</f>
      </c>
      <c r="I12" s="59" t="str">
        <f>IF(OR(I10="Not started",I17&lt;&gt;"OK"),"",'Jul'!U40)</f>
      </c>
      <c r="J12" s="59" t="str">
        <f>IF(OR(J10="Not started",J17&lt;&gt;"OK"),"",'Aug'!U40)</f>
      </c>
      <c r="K12" s="59" t="str">
        <f>IF(OR(K10="Not started",K17&lt;&gt;"OK"),"",'Sep'!U40)</f>
      </c>
      <c r="L12" s="59" t="str">
        <f>IF(OR(L10="Not started",L17&lt;&gt;"OK"),"",'Oct'!U40)</f>
      </c>
      <c r="M12" s="59" t="str">
        <f>IF(OR(M10="Not started",M17&lt;&gt;"OK"),"",'Nov'!U40)</f>
      </c>
      <c r="N12" s="59" t="str">
        <f>IF(OR(N10="Not started",N17&lt;&gt;"OK"),"",'Dec'!U40)</f>
      </c>
      <c r="O12" s="3"/>
      <c r="P12" s="3"/>
      <c r="Q12" s="55"/>
    </row>
    <row r="13" ht="23" customHeight="1">
      <c r="A13" s="3"/>
      <c r="B13" s="207" t="str">
        <v>Utilisation target</v>
      </c>
      <c r="C13" s="60" t="n">
        <f>$N$4</f>
        <v>0.75</v>
      </c>
      <c r="D13" s="60" t="n">
        <f>$N$4</f>
        <v>0.75</v>
      </c>
      <c r="E13" s="60" t="n">
        <f>$N$4</f>
        <v>0.75</v>
      </c>
      <c r="F13" s="60" t="n">
        <f>$N$4</f>
        <v>0.75</v>
      </c>
      <c r="G13" s="60" t="n">
        <f>$N$4</f>
        <v>0.75</v>
      </c>
      <c r="H13" s="60" t="n">
        <f>$N$4</f>
        <v>0.75</v>
      </c>
      <c r="I13" s="60" t="n">
        <f>$N$4</f>
        <v>0.75</v>
      </c>
      <c r="J13" s="60" t="n">
        <f>$N$4</f>
        <v>0.75</v>
      </c>
      <c r="K13" s="60" t="n">
        <f>$N$4</f>
        <v>0.75</v>
      </c>
      <c r="L13" s="60" t="n">
        <f>$N$4</f>
        <v>0.75</v>
      </c>
      <c r="M13" s="60" t="n">
        <f>$N$4</f>
        <v>0.75</v>
      </c>
      <c r="N13" s="60" t="n">
        <f>$N$4</f>
        <v>0.75</v>
      </c>
      <c r="O13" s="3"/>
      <c r="P13" s="3"/>
      <c r="Q13" s="55"/>
    </row>
    <row r="14" ht="23" customHeight="1">
      <c r="A14" s="3"/>
      <c r="B14" s="208" t="str">
        <v>Utilisation</v>
      </c>
      <c r="C14" s="71" t="str">
        <f>IF(OR(C10="Not started",C17&lt;&gt;"OK"),"",'Jan'!U41)</f>
      </c>
      <c r="D14" s="71" t="str">
        <f>IF(OR(D10="Not started",D17&lt;&gt;"OK"),"",'Feb'!U41)</f>
      </c>
      <c r="E14" s="71" t="str">
        <f>IF(OR(E10="Not started",E17&lt;&gt;"OK"),"",'Mar'!U41)</f>
      </c>
      <c r="F14" s="71" t="str">
        <f>IF(OR(F10="Not started",F17&lt;&gt;"OK"),"",'Apr'!U41)</f>
      </c>
      <c r="G14" s="71" t="str">
        <f>IF(OR(G10="Not started",G17&lt;&gt;"OK"),"",'May'!U41)</f>
      </c>
      <c r="H14" s="71" t="str">
        <f>IF(OR(H10="Not started",H17&lt;&gt;"OK"),"",'Jun'!U41)</f>
      </c>
      <c r="I14" s="71" t="str">
        <f>IF(OR(I10="Not started",I17&lt;&gt;"OK"),"",'Jul'!U41)</f>
      </c>
      <c r="J14" s="71" t="str">
        <f>IF(OR(J10="Not started",J17&lt;&gt;"OK"),"",'Aug'!U41)</f>
      </c>
      <c r="K14" s="71" t="str">
        <f>IF(OR(K10="Not started",K17&lt;&gt;"OK"),"",'Sep'!U41)</f>
      </c>
      <c r="L14" s="71" t="str">
        <f>IF(OR(L10="Not started",L17&lt;&gt;"OK"),"",'Oct'!U41)</f>
      </c>
      <c r="M14" s="71" t="str">
        <f>IF(OR(M10="Not started",M17&lt;&gt;"OK"),"",'Nov'!U41)</f>
      </c>
      <c r="N14" s="71" t="str">
        <f>IF(OR(N10="Not started",N17&lt;&gt;"OK"),"",'Dec'!U41)</f>
      </c>
      <c r="O14" s="3"/>
      <c r="P14" s="3"/>
      <c r="Q14" s="55"/>
    </row>
    <row r="15" ht="23" customHeight="1">
      <c r="A15" s="3"/>
      <c r="B15" s="207" t="str">
        <v>Achievement to target</v>
      </c>
      <c r="C15" s="60" t="str">
        <f>IF(OR(C10="Not started",C17&lt;&gt;"OK"),"",'Jan'!U43)</f>
      </c>
      <c r="D15" s="60" t="str">
        <f>IF(OR(D10="Not started",D17&lt;&gt;"OK"),"",'Feb'!U43)</f>
      </c>
      <c r="E15" s="60" t="str">
        <f>IF(OR(E10="Not started",E17&lt;&gt;"OK"),"",'Mar'!U43)</f>
      </c>
      <c r="F15" s="60" t="str">
        <f>IF(OR(F10="Not started",F17&lt;&gt;"OK"),"",'Apr'!U43)</f>
      </c>
      <c r="G15" s="60" t="str">
        <f>IF(OR(G10="Not started",G17&lt;&gt;"OK"),"",'May'!U43)</f>
      </c>
      <c r="H15" s="60" t="str">
        <f>IF(OR(H10="Not started",H17&lt;&gt;"OK"),"",'Jun'!U43)</f>
      </c>
      <c r="I15" s="60" t="str">
        <f>IF(OR(I10="Not started",I17&lt;&gt;"OK"),"",'Jul'!U43)</f>
      </c>
      <c r="J15" s="60" t="str">
        <f>IF(OR(J10="Not started",J17&lt;&gt;"OK"),"",'Aug'!U43)</f>
      </c>
      <c r="K15" s="60" t="str">
        <f>IF(OR(K10="Not started",K17&lt;&gt;"OK"),"",'Sep'!U43)</f>
      </c>
      <c r="L15" s="60" t="str">
        <f>IF(OR(L10="Not started",L17&lt;&gt;"OK"),"",'Oct'!U43)</f>
      </c>
      <c r="M15" s="60" t="str">
        <f>IF(OR(M10="Not started",M17&lt;&gt;"OK"),"",'Nov'!U43)</f>
      </c>
      <c r="N15" s="60" t="str">
        <f>IF(OR(N10="Not started",N17&lt;&gt;"OK"),"",'Dec'!U43)</f>
      </c>
      <c r="O15" s="3"/>
      <c r="P15" s="3"/>
      <c r="Q15" s="55"/>
    </row>
    <row r="16" ht="23" customHeight="1">
      <c r="A16" s="3"/>
      <c r="B16" s="207" t="str">
        <v>Hours to target</v>
      </c>
      <c r="C16" s="59" t="str">
        <f>IF(OR(C10="Not started",C17&lt;&gt;"OK"),"",'Jan'!U46)</f>
      </c>
      <c r="D16" s="59" t="str">
        <f>IF(OR(D10="Not started",D17&lt;&gt;"OK"),"",'Feb'!U46)</f>
      </c>
      <c r="E16" s="59" t="str">
        <f>IF(OR(E10="Not started",E17&lt;&gt;"OK"),"",'Mar'!U46)</f>
      </c>
      <c r="F16" s="59" t="str">
        <f>IF(OR(F10="Not started",F17&lt;&gt;"OK"),"",'Apr'!U46)</f>
      </c>
      <c r="G16" s="59" t="str">
        <f>IF(OR(G10="Not started",G17&lt;&gt;"OK"),"",'May'!U46)</f>
      </c>
      <c r="H16" s="59" t="str">
        <f>IF(OR(H10="Not started",H17&lt;&gt;"OK"),"",'Jun'!U46)</f>
      </c>
      <c r="I16" s="59" t="str">
        <f>IF(OR(I10="Not started",I17&lt;&gt;"OK"),"",'Jul'!U46)</f>
      </c>
      <c r="J16" s="59" t="str">
        <f>IF(OR(J10="Not started",J17&lt;&gt;"OK"),"",'Aug'!U46)</f>
      </c>
      <c r="K16" s="59" t="str">
        <f>IF(OR(K10="Not started",K17&lt;&gt;"OK"),"",'Sep'!U46)</f>
      </c>
      <c r="L16" s="59" t="str">
        <f>IF(OR(L10="Not started",L17&lt;&gt;"OK"),"",'Oct'!U46)</f>
      </c>
      <c r="M16" s="59" t="str">
        <f>IF(OR(M10="Not started",M17&lt;&gt;"OK"),"",'Nov'!U46)</f>
      </c>
      <c r="N16" s="59" t="str">
        <f>IF(OR(N10="Not started",N17&lt;&gt;"OK"),"",'Dec'!U46)</f>
      </c>
      <c r="O16" s="3"/>
      <c r="P16" s="3"/>
      <c r="Q16" s="55"/>
    </row>
    <row r="17" ht="34" customHeight="1">
      <c r="A17" s="3"/>
      <c r="B17" s="207" t="str">
        <v>Input status</v>
      </c>
      <c r="C17" s="61" t="str">
        <f>IF(C10="Not started","",'Jan'!B51)</f>
      </c>
      <c r="D17" s="61" t="str">
        <f>IF(D10="Not started","",'Feb'!B51)</f>
      </c>
      <c r="E17" s="61" t="str">
        <f>IF(E10="Not started","",'Mar'!B51)</f>
      </c>
      <c r="F17" s="61" t="str">
        <f>IF(F10="Not started","",'Apr'!B51)</f>
      </c>
      <c r="G17" s="61" t="str">
        <f>IF(G10="Not started","",'May'!B51)</f>
      </c>
      <c r="H17" s="61" t="str">
        <f>IF(H10="Not started","",'Jun'!B51)</f>
      </c>
      <c r="I17" s="61" t="str">
        <f>IF(I10="Not started","",'Jul'!B51)</f>
      </c>
      <c r="J17" s="61" t="str">
        <f>IF(J10="Not started","",'Aug'!B51)</f>
      </c>
      <c r="K17" s="61" t="str">
        <f>IF(K10="Not started","",'Sep'!B51)</f>
      </c>
      <c r="L17" s="61" t="str">
        <f>IF(L10="Not started","",'Oct'!B51)</f>
      </c>
      <c r="M17" s="61" t="str">
        <f>IF(M10="Not started","",'Nov'!B51)</f>
      </c>
      <c r="N17" s="61" t="str">
        <f>IF(N10="Not started","",'Dec'!B51)</f>
      </c>
      <c r="O17" s="3"/>
      <c r="P17" s="3"/>
      <c r="Q17" s="55"/>
    </row>
    <row r="18" ht="23" customHeight="1">
      <c r="A18" s="3"/>
      <c r="B18" s="6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5"/>
    </row>
    <row r="19" ht="23" customHeight="1">
      <c r="A19" s="3"/>
      <c r="B19" s="6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5"/>
    </row>
    <row r="20" ht="28" customHeight="1">
      <c r="A20" s="3"/>
      <c r="B20" s="67"/>
      <c r="C20" s="94" t="str">
        <v>Q1</v>
      </c>
      <c r="D20" s="95"/>
      <c r="E20" s="96"/>
      <c r="F20" s="94" t="str">
        <v>Q2</v>
      </c>
      <c r="G20" s="95"/>
      <c r="H20" s="96"/>
      <c r="I20" s="94" t="str">
        <v>Q3</v>
      </c>
      <c r="J20" s="95"/>
      <c r="K20" s="96"/>
      <c r="L20" s="94" t="str">
        <v>Q4</v>
      </c>
      <c r="M20" s="95"/>
      <c r="N20" s="96"/>
      <c r="O20" s="3"/>
      <c r="P20" s="105" t="str">
        <v>Year</v>
      </c>
      <c r="Q20" s="55"/>
    </row>
    <row r="21" ht="23" customHeight="1">
      <c r="A21" s="3"/>
      <c r="B21" s="209" t="str">
        <v>Available hours</v>
      </c>
      <c r="C21" s="85" t="str">
        <f>IF(COUNT(C11:E11)=0,"",SUM(C11:E11))</f>
      </c>
      <c r="D21" s="86"/>
      <c r="E21" s="87"/>
      <c r="F21" s="85" t="str">
        <f>IF(COUNT(F11:H11)=0,"",SUM(F11:H11))</f>
      </c>
      <c r="G21" s="86"/>
      <c r="H21" s="87"/>
      <c r="I21" s="85" t="str">
        <f>IF(COUNT(I11:K11)=0,"",SUM(I11:K11))</f>
      </c>
      <c r="J21" s="86"/>
      <c r="K21" s="87"/>
      <c r="L21" s="85" t="str">
        <f>IF(COUNT(L11:N11)=0,"",SUM(L11:N11))</f>
      </c>
      <c r="M21" s="86"/>
      <c r="N21" s="87"/>
      <c r="O21" s="3"/>
      <c r="P21" s="102" t="str">
        <f>IF(COUNT(C11:N11)=0,"",SUM(C11:N11))</f>
      </c>
      <c r="Q21" s="55"/>
    </row>
    <row r="22" ht="23" customHeight="1">
      <c r="A22" s="3"/>
      <c r="B22" s="210" t="str">
        <v>MBO hours</v>
      </c>
      <c r="C22" s="85" t="str">
        <f>IF(C21="","",SUM(C12:E12))</f>
      </c>
      <c r="D22" s="86"/>
      <c r="E22" s="87"/>
      <c r="F22" s="85" t="str">
        <f>IF(F21="","",SUM(F12:H12))</f>
      </c>
      <c r="G22" s="86"/>
      <c r="H22" s="87"/>
      <c r="I22" s="85" t="str">
        <f>IF(I21="","",SUM(I12:K12))</f>
      </c>
      <c r="J22" s="86"/>
      <c r="K22" s="87"/>
      <c r="L22" s="85" t="str">
        <f>IF(L21="","",SUM(L12:N12))</f>
      </c>
      <c r="M22" s="86"/>
      <c r="N22" s="87"/>
      <c r="O22" s="3"/>
      <c r="P22" s="102" t="str">
        <f>IF(P21="","",SUM(C12:N12))</f>
      </c>
      <c r="Q22" s="55"/>
    </row>
    <row r="23" ht="23" customHeight="1">
      <c r="A23" s="3"/>
      <c r="B23" s="210" t="str">
        <v>Utilisation target</v>
      </c>
      <c r="C23" s="88" t="n">
        <f>$N$4</f>
        <v>0.75</v>
      </c>
      <c r="D23" s="89"/>
      <c r="E23" s="90"/>
      <c r="F23" s="88" t="n">
        <f>$N$4</f>
        <v>0.75</v>
      </c>
      <c r="G23" s="89"/>
      <c r="H23" s="90"/>
      <c r="I23" s="88" t="n">
        <f>$N$4</f>
        <v>0.75</v>
      </c>
      <c r="J23" s="89"/>
      <c r="K23" s="90"/>
      <c r="L23" s="88" t="n">
        <f>$N$4</f>
        <v>0.75</v>
      </c>
      <c r="M23" s="89"/>
      <c r="N23" s="90"/>
      <c r="O23" s="3"/>
      <c r="P23" s="103" t="n">
        <f>$N$4</f>
        <v>0.75</v>
      </c>
      <c r="Q23" s="55"/>
    </row>
    <row r="24" ht="23" customHeight="1">
      <c r="A24" s="3"/>
      <c r="B24" s="210" t="str">
        <v>Utilisation</v>
      </c>
      <c r="C24" s="88" t="str">
        <f>IF(C21="","",IF(C21=0,"n.a.",C22/C21))</f>
      </c>
      <c r="D24" s="89"/>
      <c r="E24" s="90"/>
      <c r="F24" s="88" t="str">
        <f>IF(F21="","",IF(F21=0,"n.a.",F22/F21))</f>
      </c>
      <c r="G24" s="89"/>
      <c r="H24" s="90"/>
      <c r="I24" s="88" t="str">
        <f>IF(I21="","",IF(I21=0,"n.a.",I22/I21))</f>
      </c>
      <c r="J24" s="89"/>
      <c r="K24" s="90"/>
      <c r="L24" s="88" t="str">
        <f>IF(L21="","",IF(L21=0,"n.a.",L22/L21))</f>
      </c>
      <c r="M24" s="89"/>
      <c r="N24" s="90"/>
      <c r="O24" s="3"/>
      <c r="P24" s="103" t="str">
        <f>IF(P21="","",IF(P21=0,"n.a.",P22/P21))</f>
      </c>
      <c r="Q24" s="55"/>
    </row>
    <row r="25" ht="23" customHeight="1">
      <c r="A25" s="3"/>
      <c r="B25" s="210" t="str">
        <v>Achievement to target</v>
      </c>
      <c r="C25" s="88" t="str">
        <f>IF(ISNUMBER(C24),C24/C23,"")</f>
      </c>
      <c r="D25" s="89"/>
      <c r="E25" s="90"/>
      <c r="F25" s="88" t="str">
        <f>IF(ISNUMBER(F24),F24/F23,"")</f>
      </c>
      <c r="G25" s="89"/>
      <c r="H25" s="90"/>
      <c r="I25" s="88" t="str">
        <f>IF(ISNUMBER(I24),I24/I23,"")</f>
      </c>
      <c r="J25" s="89"/>
      <c r="K25" s="90"/>
      <c r="L25" s="88" t="str">
        <f>IF(ISNUMBER(L24),L24/L23,"")</f>
      </c>
      <c r="M25" s="89"/>
      <c r="N25" s="90"/>
      <c r="O25" s="3"/>
      <c r="P25" s="103" t="str">
        <f>IF(ISNUMBER(P24),P24/P23,"")</f>
      </c>
      <c r="Q25" s="55"/>
    </row>
    <row r="26" ht="23" customHeight="1">
      <c r="A26" s="3"/>
      <c r="B26" s="210" t="str">
        <v>Hours to target</v>
      </c>
      <c r="C26" s="85" t="str">
        <f>IF(C21="","",MAX(0,C21*C23-C22))</f>
      </c>
      <c r="D26" s="86"/>
      <c r="E26" s="87"/>
      <c r="F26" s="85" t="str">
        <f>IF(F21="","",MAX(0,F21*F23-F22))</f>
      </c>
      <c r="G26" s="86"/>
      <c r="H26" s="87"/>
      <c r="I26" s="85" t="str">
        <f>IF(I21="","",MAX(0,I21*I23-I22))</f>
      </c>
      <c r="J26" s="86"/>
      <c r="K26" s="87"/>
      <c r="L26" s="85" t="str">
        <f>IF(L21="","",MAX(0,L21*L23-L22))</f>
      </c>
      <c r="M26" s="86"/>
      <c r="N26" s="87"/>
      <c r="O26" s="3"/>
      <c r="P26" s="102" t="str">
        <f>IF(P21="","",MAX(0,P21*P23-P22))</f>
      </c>
      <c r="Q26" s="55"/>
    </row>
    <row r="27" ht="32" customHeight="1">
      <c r="A27" s="3"/>
      <c r="B27" s="211" t="str">
        <v>Coverage</v>
      </c>
      <c r="C27" s="91" t="str">
        <f>IF(COUNTIFS(C17:E17,"Check*")&gt;0,"Check month inputs",IF(COUNTIFS(C10:E10,"Forecast")&gt;0,"Includes forecast",IF(COUNTIFS(C10:E10,"Actual")&gt;0,"Actual months only","Not started")))</f>
        <v>Not started</v>
      </c>
      <c r="D27" s="92"/>
      <c r="E27" s="93"/>
      <c r="F27" s="91" t="str">
        <f>IF(COUNTIFS(F17:H17,"Check*")&gt;0,"Check month inputs",IF(COUNTIFS(F10:H10,"Forecast")&gt;0,"Includes forecast",IF(COUNTIFS(F10:H10,"Actual")&gt;0,"Actual months only","Not started")))</f>
        <v>Not started</v>
      </c>
      <c r="G27" s="92"/>
      <c r="H27" s="93"/>
      <c r="I27" s="91" t="str">
        <f>IF(COUNTIFS(I17:K17,"Check*")&gt;0,"Check month inputs",IF(COUNTIFS(I10:K10,"Forecast")&gt;0,"Includes forecast",IF(COUNTIFS(I10:K10,"Actual")&gt;0,"Actual months only","Not started")))</f>
        <v>Not started</v>
      </c>
      <c r="J27" s="92"/>
      <c r="K27" s="93"/>
      <c r="L27" s="91" t="str">
        <f>IF(COUNTIFS(L17:N17,"Check*")&gt;0,"Check month inputs",IF(COUNTIFS(L10:N10,"Forecast")&gt;0,"Includes forecast",IF(COUNTIFS(L10:N10,"Actual")&gt;0,"Actual months only","Not started")))</f>
        <v>Not started</v>
      </c>
      <c r="M27" s="92"/>
      <c r="N27" s="93"/>
      <c r="O27" s="3"/>
      <c r="P27" s="104" t="str">
        <f>IF(COUNTIFS(C17:N17,"Check*")&gt;0,"Check months",IF(COUNTIFS(C10:N10,"Forecast")&gt;0,"Includes forecast",IF(COUNTIFS(C10:N10,"Actual")&gt;0,"Actual months","Not started")))</f>
        <v>Not started</v>
      </c>
      <c r="Q27" s="55"/>
    </row>
    <row r="28" ht="2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5"/>
    </row>
    <row r="29" ht="2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5"/>
    </row>
    <row r="30" ht="23" customHeight="1">
      <c r="A30" s="3"/>
      <c r="B30" s="3" t="str">
        <v>MBO includes approved concessions/work at risk and project overruns in addition to billable work.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5"/>
    </row>
    <row r="31" ht="23" customHeight="1">
      <c r="A31" s="3"/>
      <c r="B31" s="3" t="str">
        <v>These extra hours do not count towards the billable utilisation target on Billable summary.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5"/>
    </row>
    <row r="32" ht="23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5"/>
    </row>
    <row r="33" ht="23" customHeight="1">
      <c r="A33" s="3"/>
      <c r="B33" s="3" t="str">
        <v>Quarter and year results include only months marked Actual or Forecast with valid inputs. Coverage shows when a forecast is included.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5"/>
    </row>
    <row r="34" ht="2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5"/>
    </row>
    <row r="35" ht="23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5"/>
    </row>
    <row r="36" ht="23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5"/>
    </row>
    <row r="38" ht="23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5"/>
    </row>
    <row r="39">
      <c r="Q39" s="55"/>
    </row>
  </sheetData>
  <mergeCells>
    <mergeCell ref="B2:P2"/>
    <mergeCell ref="F4:J4"/>
    <mergeCell ref="L4:M4"/>
    <mergeCell ref="B5:N5"/>
    <mergeCell ref="B7:P7"/>
    <mergeCell ref="C20:E20"/>
    <mergeCell ref="C21:E21"/>
    <mergeCell ref="C22:E22"/>
    <mergeCell ref="C23:E23"/>
    <mergeCell ref="C24:E24"/>
    <mergeCell ref="C25:E25"/>
    <mergeCell ref="C26:E26"/>
    <mergeCell ref="C27:E27"/>
    <mergeCell ref="F20:H20"/>
    <mergeCell ref="F21:H21"/>
    <mergeCell ref="F22:H22"/>
    <mergeCell ref="F23:H23"/>
    <mergeCell ref="F24:H24"/>
    <mergeCell ref="F25:H25"/>
    <mergeCell ref="F26:H26"/>
    <mergeCell ref="F27:H27"/>
    <mergeCell ref="I20:K20"/>
    <mergeCell ref="I21:K21"/>
    <mergeCell ref="I22:K22"/>
    <mergeCell ref="I23:K23"/>
    <mergeCell ref="I24:K24"/>
    <mergeCell ref="I25:K25"/>
    <mergeCell ref="I26:K26"/>
    <mergeCell ref="I27:K27"/>
    <mergeCell ref="L20:N20"/>
    <mergeCell ref="L21:N21"/>
    <mergeCell ref="L22:N22"/>
    <mergeCell ref="L23:N23"/>
    <mergeCell ref="L24:N24"/>
    <mergeCell ref="L25:N25"/>
    <mergeCell ref="L26:N26"/>
    <mergeCell ref="L27:N27"/>
    <mergeCell ref="B30:P30"/>
    <mergeCell ref="B31:P31"/>
    <mergeCell ref="B33:P33"/>
  </mergeCells>
  <conditionalFormatting sqref="C14:N14">
    <cfRule type="expression" dxfId="26" priority="1">
      <formula>AND(ISNUMBER(C14),C14&gt;=C13)</formula>
    </cfRule>
    <cfRule type="expression" dxfId="27" priority="2">
      <formula>AND(ISNUMBER(C14),C14&lt;C13)</formula>
    </cfRule>
  </conditionalFormatting>
  <conditionalFormatting sqref="C17:N17">
    <cfRule type="containsText" dxfId="28" priority="3" operator="containsText" text="Check"/>
    <cfRule type="containsText" dxfId="29" priority="4" operator="containsText" text="Invalid"/>
    <cfRule type="containsText" dxfId="30" priority="5" operator="containsText" text="Negative"/>
    <cfRule type="containsText" dxfId="31" priority="6" operator="containsText" text="Outside"/>
  </conditionalFormatting>
  <conditionalFormatting sqref="C27:E27">
    <cfRule type="containsText" dxfId="32" priority="7" operator="containsText" text="Check"/>
    <cfRule type="containsText" dxfId="33" priority="8" operator="containsText" text="Invalid"/>
    <cfRule type="containsText" dxfId="34" priority="9" operator="containsText" text="Negative"/>
    <cfRule type="containsText" dxfId="35" priority="10" operator="containsText" text="Outside"/>
  </conditionalFormatting>
  <conditionalFormatting sqref="F27:H27">
    <cfRule type="containsText" dxfId="36" priority="11" operator="containsText" text="Check"/>
    <cfRule type="containsText" dxfId="37" priority="12" operator="containsText" text="Invalid"/>
    <cfRule type="containsText" dxfId="38" priority="13" operator="containsText" text="Negative"/>
    <cfRule type="containsText" dxfId="39" priority="14" operator="containsText" text="Outside"/>
  </conditionalFormatting>
  <conditionalFormatting sqref="I27:K27">
    <cfRule type="containsText" dxfId="40" priority="15" operator="containsText" text="Check"/>
    <cfRule type="containsText" dxfId="41" priority="16" operator="containsText" text="Invalid"/>
    <cfRule type="containsText" dxfId="42" priority="17" operator="containsText" text="Negative"/>
    <cfRule type="containsText" dxfId="43" priority="18" operator="containsText" text="Outside"/>
  </conditionalFormatting>
  <conditionalFormatting sqref="L27:N27">
    <cfRule type="containsText" dxfId="44" priority="19" operator="containsText" text="Check"/>
    <cfRule type="containsText" dxfId="45" priority="20" operator="containsText" text="Invalid"/>
    <cfRule type="containsText" dxfId="46" priority="21" operator="containsText" text="Negative"/>
    <cfRule type="containsText" dxfId="47" priority="22" operator="containsText" text="Outside"/>
  </conditionalFormatting>
  <conditionalFormatting sqref="P27:P27">
    <cfRule type="containsText" dxfId="48" priority="23" operator="containsText" text="Check"/>
    <cfRule type="containsText" dxfId="49" priority="24" operator="containsText" text="Invalid"/>
    <cfRule type="containsText" dxfId="50" priority="25" operator="containsText" text="Negative"/>
    <cfRule type="containsText" dxfId="51" priority="26" operator="containsText" text="Outside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summary'!$C$4,1,1),"mmmm yyyy")</f>
        <v>January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summary'!$C$4,2,0)),DATE('Billable summary'!$C$4,1,1),"")</f>
        <v>46388</v>
      </c>
      <c r="D5" s="48" t="n">
        <f>IF(2&lt;=DAY(DATE('Billable summary'!$C$4,2,0)),DATE('Billable summary'!$C$4,1,2),"")</f>
        <v>46389</v>
      </c>
      <c r="E5" s="48" t="n">
        <f>IF(3&lt;=DAY(DATE('Billable summary'!$C$4,2,0)),DATE('Billable summary'!$C$4,1,3),"")</f>
        <v>46390</v>
      </c>
      <c r="F5" s="48" t="n">
        <f>IF(4&lt;=DAY(DATE('Billable summary'!$C$4,2,0)),DATE('Billable summary'!$C$4,1,4),"")</f>
        <v>46391</v>
      </c>
      <c r="G5" s="48" t="n">
        <f>IF(5&lt;=DAY(DATE('Billable summary'!$C$4,2,0)),DATE('Billable summary'!$C$4,1,5),"")</f>
        <v>46392</v>
      </c>
      <c r="H5" s="48" t="n">
        <f>IF(6&lt;=DAY(DATE('Billable summary'!$C$4,2,0)),DATE('Billable summary'!$C$4,1,6),"")</f>
        <v>46393</v>
      </c>
      <c r="I5" s="48" t="n">
        <f>IF(7&lt;=DAY(DATE('Billable summary'!$C$4,2,0)),DATE('Billable summary'!$C$4,1,7),"")</f>
        <v>46394</v>
      </c>
      <c r="J5" s="48" t="n">
        <f>IF(8&lt;=DAY(DATE('Billable summary'!$C$4,2,0)),DATE('Billable summary'!$C$4,1,8),"")</f>
        <v>46395</v>
      </c>
      <c r="K5" s="48" t="n">
        <f>IF(9&lt;=DAY(DATE('Billable summary'!$C$4,2,0)),DATE('Billable summary'!$C$4,1,9),"")</f>
        <v>46396</v>
      </c>
      <c r="L5" s="48" t="n">
        <f>IF(10&lt;=DAY(DATE('Billable summary'!$C$4,2,0)),DATE('Billable summary'!$C$4,1,10),"")</f>
        <v>46397</v>
      </c>
      <c r="M5" s="48" t="n">
        <f>IF(11&lt;=DAY(DATE('Billable summary'!$C$4,2,0)),DATE('Billable summary'!$C$4,1,11),"")</f>
        <v>46398</v>
      </c>
      <c r="N5" s="48" t="n">
        <f>IF(12&lt;=DAY(DATE('Billable summary'!$C$4,2,0)),DATE('Billable summary'!$C$4,1,12),"")</f>
        <v>46399</v>
      </c>
      <c r="O5" s="48" t="n">
        <f>IF(13&lt;=DAY(DATE('Billable summary'!$C$4,2,0)),DATE('Billable summary'!$C$4,1,13),"")</f>
        <v>46400</v>
      </c>
      <c r="P5" s="48" t="n">
        <f>IF(14&lt;=DAY(DATE('Billable summary'!$C$4,2,0)),DATE('Billable summary'!$C$4,1,14),"")</f>
        <v>46401</v>
      </c>
      <c r="Q5" s="48" t="n">
        <f>IF(15&lt;=DAY(DATE('Billable summary'!$C$4,2,0)),DATE('Billable summary'!$C$4,1,15),"")</f>
        <v>46402</v>
      </c>
      <c r="R5" s="48" t="n">
        <f>IF(16&lt;=DAY(DATE('Billable summary'!$C$4,2,0)),DATE('Billable summary'!$C$4,1,16),"")</f>
        <v>46403</v>
      </c>
      <c r="S5" s="48" t="n">
        <f>IF(17&lt;=DAY(DATE('Billable summary'!$C$4,2,0)),DATE('Billable summary'!$C$4,1,17),"")</f>
        <v>46404</v>
      </c>
      <c r="T5" s="48" t="n">
        <f>IF(18&lt;=DAY(DATE('Billable summary'!$C$4,2,0)),DATE('Billable summary'!$C$4,1,18),"")</f>
        <v>46405</v>
      </c>
      <c r="U5" s="48" t="n">
        <f>IF(19&lt;=DAY(DATE('Billable summary'!$C$4,2,0)),DATE('Billable summary'!$C$4,1,19),"")</f>
        <v>46406</v>
      </c>
      <c r="V5" s="48" t="n">
        <f>IF(20&lt;=DAY(DATE('Billable summary'!$C$4,2,0)),DATE('Billable summary'!$C$4,1,20),"")</f>
        <v>46407</v>
      </c>
      <c r="W5" s="48" t="n">
        <f>IF(21&lt;=DAY(DATE('Billable summary'!$C$4,2,0)),DATE('Billable summary'!$C$4,1,21),"")</f>
        <v>46408</v>
      </c>
      <c r="X5" s="48" t="n">
        <f>IF(22&lt;=DAY(DATE('Billable summary'!$C$4,2,0)),DATE('Billable summary'!$C$4,1,22),"")</f>
        <v>46409</v>
      </c>
      <c r="Y5" s="48" t="n">
        <f>IF(23&lt;=DAY(DATE('Billable summary'!$C$4,2,0)),DATE('Billable summary'!$C$4,1,23),"")</f>
        <v>46410</v>
      </c>
      <c r="Z5" s="48" t="n">
        <f>IF(24&lt;=DAY(DATE('Billable summary'!$C$4,2,0)),DATE('Billable summary'!$C$4,1,24),"")</f>
        <v>46411</v>
      </c>
      <c r="AA5" s="48" t="n">
        <f>IF(25&lt;=DAY(DATE('Billable summary'!$C$4,2,0)),DATE('Billable summary'!$C$4,1,25),"")</f>
        <v>46412</v>
      </c>
      <c r="AB5" s="48" t="n">
        <f>IF(26&lt;=DAY(DATE('Billable summary'!$C$4,2,0)),DATE('Billable summary'!$C$4,1,26),"")</f>
        <v>46413</v>
      </c>
      <c r="AC5" s="48" t="n">
        <f>IF(27&lt;=DAY(DATE('Billable summary'!$C$4,2,0)),DATE('Billable summary'!$C$4,1,27),"")</f>
        <v>46414</v>
      </c>
      <c r="AD5" s="48" t="n">
        <f>IF(28&lt;=DAY(DATE('Billable summary'!$C$4,2,0)),DATE('Billable summary'!$C$4,1,28),"")</f>
        <v>46415</v>
      </c>
      <c r="AE5" s="48" t="n">
        <f>IF(29&lt;=DAY(DATE('Billable summary'!$C$4,2,0)),DATE('Billable summary'!$C$4,1,29),"")</f>
        <v>46416</v>
      </c>
      <c r="AF5" s="48" t="n">
        <f>IF(30&lt;=DAY(DATE('Billable summary'!$C$4,2,0)),DATE('Billable summary'!$C$4,1,30),"")</f>
        <v>46417</v>
      </c>
      <c r="AG5" s="48" t="n">
        <f>IF(31&lt;=DAY(DATE('Billable summary'!$C$4,2,0)),DATE('Billable summary'!$C$4,1,31),"")</f>
        <v>46418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46388</v>
      </c>
      <c r="D6" s="142" t="n">
        <f>IF(D$5="","",D$5)</f>
        <v>46389</v>
      </c>
      <c r="E6" s="142" t="n">
        <f>IF(E$5="","",E$5)</f>
        <v>46390</v>
      </c>
      <c r="F6" s="142" t="n">
        <f>IF(F$5="","",F$5)</f>
        <v>46391</v>
      </c>
      <c r="G6" s="142" t="n">
        <f>IF(G$5="","",G$5)</f>
        <v>46392</v>
      </c>
      <c r="H6" s="142" t="n">
        <f>IF(H$5="","",H$5)</f>
        <v>46393</v>
      </c>
      <c r="I6" s="142" t="n">
        <f>IF(I$5="","",I$5)</f>
        <v>46394</v>
      </c>
      <c r="J6" s="142" t="n">
        <f>IF(J$5="","",J$5)</f>
        <v>46395</v>
      </c>
      <c r="K6" s="142" t="n">
        <f>IF(K$5="","",K$5)</f>
        <v>46396</v>
      </c>
      <c r="L6" s="142" t="n">
        <f>IF(L$5="","",L$5)</f>
        <v>46397</v>
      </c>
      <c r="M6" s="142" t="n">
        <f>IF(M$5="","",M$5)</f>
        <v>46398</v>
      </c>
      <c r="N6" s="142" t="n">
        <f>IF(N$5="","",N$5)</f>
        <v>46399</v>
      </c>
      <c r="O6" s="142" t="n">
        <f>IF(O$5="","",O$5)</f>
        <v>46400</v>
      </c>
      <c r="P6" s="142" t="n">
        <f>IF(P$5="","",P$5)</f>
        <v>46401</v>
      </c>
      <c r="Q6" s="142" t="n">
        <f>IF(Q$5="","",Q$5)</f>
        <v>46402</v>
      </c>
      <c r="R6" s="142" t="n">
        <f>IF(R$5="","",R$5)</f>
        <v>46403</v>
      </c>
      <c r="S6" s="142" t="n">
        <f>IF(S$5="","",S$5)</f>
        <v>46404</v>
      </c>
      <c r="T6" s="142" t="n">
        <f>IF(T$5="","",T$5)</f>
        <v>46405</v>
      </c>
      <c r="U6" s="142" t="n">
        <f>IF(U$5="","",U$5)</f>
        <v>46406</v>
      </c>
      <c r="V6" s="142" t="n">
        <f>IF(V$5="","",V$5)</f>
        <v>46407</v>
      </c>
      <c r="W6" s="142" t="n">
        <f>IF(W$5="","",W$5)</f>
        <v>46408</v>
      </c>
      <c r="X6" s="142" t="n">
        <f>IF(X$5="","",X$5)</f>
        <v>46409</v>
      </c>
      <c r="Y6" s="142" t="n">
        <f>IF(Y$5="","",Y$5)</f>
        <v>46410</v>
      </c>
      <c r="Z6" s="142" t="n">
        <f>IF(Z$5="","",Z$5)</f>
        <v>46411</v>
      </c>
      <c r="AA6" s="142" t="n">
        <f>IF(AA$5="","",AA$5)</f>
        <v>46412</v>
      </c>
      <c r="AB6" s="142" t="n">
        <f>IF(AB$5="","",AB$5)</f>
        <v>46413</v>
      </c>
      <c r="AC6" s="142" t="n">
        <f>IF(AC$5="","",AC$5)</f>
        <v>46414</v>
      </c>
      <c r="AD6" s="142" t="n">
        <f>IF(AD$5="","",AD$5)</f>
        <v>46415</v>
      </c>
      <c r="AE6" s="142" t="n">
        <f>IF(AE$5="","",AE$5)</f>
        <v>46416</v>
      </c>
      <c r="AF6" s="142" t="n">
        <f>IF(AF$5="","",AF$5)</f>
        <v>46417</v>
      </c>
      <c r="AG6" s="142" t="n">
        <f>IF(AG$5="","",AG$5)</f>
        <v>46418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46388</v>
      </c>
      <c r="D19" s="142" t="n">
        <f>IF(D$5="","",D$5)</f>
        <v>46389</v>
      </c>
      <c r="E19" s="142" t="n">
        <f>IF(E$5="","",E$5)</f>
        <v>46390</v>
      </c>
      <c r="F19" s="142" t="n">
        <f>IF(F$5="","",F$5)</f>
        <v>46391</v>
      </c>
      <c r="G19" s="142" t="n">
        <f>IF(G$5="","",G$5)</f>
        <v>46392</v>
      </c>
      <c r="H19" s="142" t="n">
        <f>IF(H$5="","",H$5)</f>
        <v>46393</v>
      </c>
      <c r="I19" s="142" t="n">
        <f>IF(I$5="","",I$5)</f>
        <v>46394</v>
      </c>
      <c r="J19" s="142" t="n">
        <f>IF(J$5="","",J$5)</f>
        <v>46395</v>
      </c>
      <c r="K19" s="142" t="n">
        <f>IF(K$5="","",K$5)</f>
        <v>46396</v>
      </c>
      <c r="L19" s="142" t="n">
        <f>IF(L$5="","",L$5)</f>
        <v>46397</v>
      </c>
      <c r="M19" s="142" t="n">
        <f>IF(M$5="","",M$5)</f>
        <v>46398</v>
      </c>
      <c r="N19" s="142" t="n">
        <f>IF(N$5="","",N$5)</f>
        <v>46399</v>
      </c>
      <c r="O19" s="142" t="n">
        <f>IF(O$5="","",O$5)</f>
        <v>46400</v>
      </c>
      <c r="P19" s="142" t="n">
        <f>IF(P$5="","",P$5)</f>
        <v>46401</v>
      </c>
      <c r="Q19" s="142" t="n">
        <f>IF(Q$5="","",Q$5)</f>
        <v>46402</v>
      </c>
      <c r="R19" s="142" t="n">
        <f>IF(R$5="","",R$5)</f>
        <v>46403</v>
      </c>
      <c r="S19" s="142" t="n">
        <f>IF(S$5="","",S$5)</f>
        <v>46404</v>
      </c>
      <c r="T19" s="142" t="n">
        <f>IF(T$5="","",T$5)</f>
        <v>46405</v>
      </c>
      <c r="U19" s="142" t="n">
        <f>IF(U$5="","",U$5)</f>
        <v>46406</v>
      </c>
      <c r="V19" s="142" t="n">
        <f>IF(V$5="","",V$5)</f>
        <v>46407</v>
      </c>
      <c r="W19" s="142" t="n">
        <f>IF(W$5="","",W$5)</f>
        <v>46408</v>
      </c>
      <c r="X19" s="142" t="n">
        <f>IF(X$5="","",X$5)</f>
        <v>46409</v>
      </c>
      <c r="Y19" s="142" t="n">
        <f>IF(Y$5="","",Y$5)</f>
        <v>46410</v>
      </c>
      <c r="Z19" s="142" t="n">
        <f>IF(Z$5="","",Z$5)</f>
        <v>46411</v>
      </c>
      <c r="AA19" s="142" t="n">
        <f>IF(AA$5="","",AA$5)</f>
        <v>46412</v>
      </c>
      <c r="AB19" s="142" t="n">
        <f>IF(AB$5="","",AB$5)</f>
        <v>46413</v>
      </c>
      <c r="AC19" s="142" t="n">
        <f>IF(AC$5="","",AC$5)</f>
        <v>46414</v>
      </c>
      <c r="AD19" s="142" t="n">
        <f>IF(AD$5="","",AD$5)</f>
        <v>46415</v>
      </c>
      <c r="AE19" s="142" t="n">
        <f>IF(AE$5="","",AE$5)</f>
        <v>46416</v>
      </c>
      <c r="AF19" s="142" t="n">
        <f>IF(AF$5="","",AF$5)</f>
        <v>46417</v>
      </c>
      <c r="AG19" s="142" t="n">
        <f>IF(AG$5="","",AG$5)</f>
        <v>46418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46388</v>
      </c>
      <c r="D30" s="48" t="n">
        <f>IF(D$5="","",D$5)</f>
        <v>46389</v>
      </c>
      <c r="E30" s="48" t="n">
        <f>IF(E$5="","",E$5)</f>
        <v>46390</v>
      </c>
      <c r="F30" s="48" t="n">
        <f>IF(F$5="","",F$5)</f>
        <v>46391</v>
      </c>
      <c r="G30" s="48" t="n">
        <f>IF(G$5="","",G$5)</f>
        <v>46392</v>
      </c>
      <c r="H30" s="48" t="n">
        <f>IF(H$5="","",H$5)</f>
        <v>46393</v>
      </c>
      <c r="I30" s="48" t="n">
        <f>IF(I$5="","",I$5)</f>
        <v>46394</v>
      </c>
      <c r="J30" s="48" t="n">
        <f>IF(J$5="","",J$5)</f>
        <v>46395</v>
      </c>
      <c r="K30" s="48" t="n">
        <f>IF(K$5="","",K$5)</f>
        <v>46396</v>
      </c>
      <c r="L30" s="48" t="n">
        <f>IF(L$5="","",L$5)</f>
        <v>46397</v>
      </c>
      <c r="M30" s="48" t="n">
        <f>IF(M$5="","",M$5)</f>
        <v>46398</v>
      </c>
      <c r="N30" s="48" t="n">
        <f>IF(N$5="","",N$5)</f>
        <v>46399</v>
      </c>
      <c r="O30" s="48" t="n">
        <f>IF(O$5="","",O$5)</f>
        <v>46400</v>
      </c>
      <c r="P30" s="48" t="n">
        <f>IF(P$5="","",P$5)</f>
        <v>46401</v>
      </c>
      <c r="Q30" s="48" t="n">
        <f>IF(Q$5="","",Q$5)</f>
        <v>46402</v>
      </c>
      <c r="R30" s="48" t="n">
        <f>IF(R$5="","",R$5)</f>
        <v>46403</v>
      </c>
      <c r="S30" s="48" t="n">
        <f>IF(S$5="","",S$5)</f>
        <v>46404</v>
      </c>
      <c r="T30" s="48" t="n">
        <f>IF(T$5="","",T$5)</f>
        <v>46405</v>
      </c>
      <c r="U30" s="48" t="n">
        <f>IF(U$5="","",U$5)</f>
        <v>46406</v>
      </c>
      <c r="V30" s="48" t="n">
        <f>IF(V$5="","",V$5)</f>
        <v>46407</v>
      </c>
      <c r="W30" s="48" t="n">
        <f>IF(W$5="","",W$5)</f>
        <v>46408</v>
      </c>
      <c r="X30" s="48" t="n">
        <f>IF(X$5="","",X$5)</f>
        <v>46409</v>
      </c>
      <c r="Y30" s="48" t="n">
        <f>IF(Y$5="","",Y$5)</f>
        <v>46410</v>
      </c>
      <c r="Z30" s="48" t="n">
        <f>IF(Z$5="","",Z$5)</f>
        <v>46411</v>
      </c>
      <c r="AA30" s="48" t="n">
        <f>IF(AA$5="","",AA$5)</f>
        <v>46412</v>
      </c>
      <c r="AB30" s="48" t="n">
        <f>IF(AB$5="","",AB$5)</f>
        <v>46413</v>
      </c>
      <c r="AC30" s="48" t="n">
        <f>IF(AC$5="","",AC$5)</f>
        <v>46414</v>
      </c>
      <c r="AD30" s="48" t="n">
        <f>IF(AD$5="","",AD$5)</f>
        <v>46415</v>
      </c>
      <c r="AE30" s="48" t="n">
        <f>IF(AE$5="","",AE$5)</f>
        <v>46416</v>
      </c>
      <c r="AF30" s="48" t="n">
        <f>IF(AF$5="","",AF$5)</f>
        <v>46417</v>
      </c>
      <c r="AG30" s="48" t="n">
        <f>IF(AG$5="","",AG$5)</f>
        <v>46418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46388</v>
      </c>
      <c r="D31" s="142" t="n">
        <f>IF(D$5="","",D$5)</f>
        <v>46389</v>
      </c>
      <c r="E31" s="142" t="n">
        <f>IF(E$5="","",E$5)</f>
        <v>46390</v>
      </c>
      <c r="F31" s="142" t="n">
        <f>IF(F$5="","",F$5)</f>
        <v>46391</v>
      </c>
      <c r="G31" s="142" t="n">
        <f>IF(G$5="","",G$5)</f>
        <v>46392</v>
      </c>
      <c r="H31" s="142" t="n">
        <f>IF(H$5="","",H$5)</f>
        <v>46393</v>
      </c>
      <c r="I31" s="142" t="n">
        <f>IF(I$5="","",I$5)</f>
        <v>46394</v>
      </c>
      <c r="J31" s="142" t="n">
        <f>IF(J$5="","",J$5)</f>
        <v>46395</v>
      </c>
      <c r="K31" s="142" t="n">
        <f>IF(K$5="","",K$5)</f>
        <v>46396</v>
      </c>
      <c r="L31" s="142" t="n">
        <f>IF(L$5="","",L$5)</f>
        <v>46397</v>
      </c>
      <c r="M31" s="142" t="n">
        <f>IF(M$5="","",M$5)</f>
        <v>46398</v>
      </c>
      <c r="N31" s="142" t="n">
        <f>IF(N$5="","",N$5)</f>
        <v>46399</v>
      </c>
      <c r="O31" s="142" t="n">
        <f>IF(O$5="","",O$5)</f>
        <v>46400</v>
      </c>
      <c r="P31" s="142" t="n">
        <f>IF(P$5="","",P$5)</f>
        <v>46401</v>
      </c>
      <c r="Q31" s="142" t="n">
        <f>IF(Q$5="","",Q$5)</f>
        <v>46402</v>
      </c>
      <c r="R31" s="142" t="n">
        <f>IF(R$5="","",R$5)</f>
        <v>46403</v>
      </c>
      <c r="S31" s="142" t="n">
        <f>IF(S$5="","",S$5)</f>
        <v>46404</v>
      </c>
      <c r="T31" s="142" t="n">
        <f>IF(T$5="","",T$5)</f>
        <v>46405</v>
      </c>
      <c r="U31" s="142" t="n">
        <f>IF(U$5="","",U$5)</f>
        <v>46406</v>
      </c>
      <c r="V31" s="142" t="n">
        <f>IF(V$5="","",V$5)</f>
        <v>46407</v>
      </c>
      <c r="W31" s="142" t="n">
        <f>IF(W$5="","",W$5)</f>
        <v>46408</v>
      </c>
      <c r="X31" s="142" t="n">
        <f>IF(X$5="","",X$5)</f>
        <v>46409</v>
      </c>
      <c r="Y31" s="142" t="n">
        <f>IF(Y$5="","",Y$5)</f>
        <v>46410</v>
      </c>
      <c r="Z31" s="142" t="n">
        <f>IF(Z$5="","",Z$5)</f>
        <v>46411</v>
      </c>
      <c r="AA31" s="142" t="n">
        <f>IF(AA$5="","",AA$5)</f>
        <v>46412</v>
      </c>
      <c r="AB31" s="142" t="n">
        <f>IF(AB$5="","",AB$5)</f>
        <v>46413</v>
      </c>
      <c r="AC31" s="142" t="n">
        <f>IF(AC$5="","",AC$5)</f>
        <v>46414</v>
      </c>
      <c r="AD31" s="142" t="n">
        <f>IF(AD$5="","",AD$5)</f>
        <v>46415</v>
      </c>
      <c r="AE31" s="142" t="n">
        <f>IF(AE$5="","",AE$5)</f>
        <v>46416</v>
      </c>
      <c r="AF31" s="142" t="n">
        <f>IF(AF$5="","",AF$5)</f>
        <v>46417</v>
      </c>
      <c r="AG31" s="142" t="n">
        <f>IF(AG$5="","",AG$5)</f>
        <v>46418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summary'!$C$4,1,1),DATE('Billable summary'!$C$4,2,0))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52" priority="1">
      <formula>OR(C$5="",WEEKDAY(C$5,2)&gt;5)</formula>
    </cfRule>
    <cfRule type="expression" dxfId="53" priority="2">
      <formula>AND(C$5="",NOT(ISBLANK(C7)))</formula>
    </cfRule>
  </conditionalFormatting>
  <conditionalFormatting sqref="C20:AG25">
    <cfRule type="expression" dxfId="54" priority="3">
      <formula>OR(C$5="",WEEKDAY(C$5,2)&gt;5)</formula>
    </cfRule>
    <cfRule type="expression" dxfId="55" priority="4">
      <formula>AND(C$5="",NOT(ISBLANK(C20)))</formula>
    </cfRule>
  </conditionalFormatting>
  <conditionalFormatting sqref="C32:AG35">
    <cfRule type="expression" dxfId="56" priority="5">
      <formula>OR(C$5="",WEEKDAY(C$5,2)&gt;5)</formula>
    </cfRule>
    <cfRule type="expression" dxfId="57" priority="6">
      <formula>AND(C$5="",NOT(ISBLANK(C32)))</formula>
    </cfRule>
  </conditionalFormatting>
  <conditionalFormatting sqref="I43:K43">
    <cfRule type="expression" dxfId="58" priority="7">
      <formula>AND(ISNUMBER($I$43),$I$43&gt;=$I$44)</formula>
    </cfRule>
    <cfRule type="expression" dxfId="59" priority="8">
      <formula>AND(ISNUMBER($I$43),$I$43&lt;$I$44)</formula>
    </cfRule>
  </conditionalFormatting>
  <conditionalFormatting sqref="B51:AH51">
    <cfRule type="containsText" dxfId="60" priority="9" operator="containsText" text="Check"/>
    <cfRule type="containsText" dxfId="61" priority="10" operator="containsText" text="Invalid"/>
    <cfRule type="containsText" dxfId="62" priority="11" operator="containsText" text="Negative"/>
    <cfRule type="containsText" dxfId="6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summary'!$C$4,2,1),"mmmm yyyy")</f>
        <v>February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summary'!$C$4,3,0)),DATE('Billable summary'!$C$4,2,1),"")</f>
        <v>46419</v>
      </c>
      <c r="D5" s="48" t="n">
        <f>IF(2&lt;=DAY(DATE('Billable summary'!$C$4,3,0)),DATE('Billable summary'!$C$4,2,2),"")</f>
        <v>46420</v>
      </c>
      <c r="E5" s="48" t="n">
        <f>IF(3&lt;=DAY(DATE('Billable summary'!$C$4,3,0)),DATE('Billable summary'!$C$4,2,3),"")</f>
        <v>46421</v>
      </c>
      <c r="F5" s="48" t="n">
        <f>IF(4&lt;=DAY(DATE('Billable summary'!$C$4,3,0)),DATE('Billable summary'!$C$4,2,4),"")</f>
        <v>46422</v>
      </c>
      <c r="G5" s="48" t="n">
        <f>IF(5&lt;=DAY(DATE('Billable summary'!$C$4,3,0)),DATE('Billable summary'!$C$4,2,5),"")</f>
        <v>46423</v>
      </c>
      <c r="H5" s="48" t="n">
        <f>IF(6&lt;=DAY(DATE('Billable summary'!$C$4,3,0)),DATE('Billable summary'!$C$4,2,6),"")</f>
        <v>46424</v>
      </c>
      <c r="I5" s="48" t="n">
        <f>IF(7&lt;=DAY(DATE('Billable summary'!$C$4,3,0)),DATE('Billable summary'!$C$4,2,7),"")</f>
        <v>46425</v>
      </c>
      <c r="J5" s="48" t="n">
        <f>IF(8&lt;=DAY(DATE('Billable summary'!$C$4,3,0)),DATE('Billable summary'!$C$4,2,8),"")</f>
        <v>46426</v>
      </c>
      <c r="K5" s="48" t="n">
        <f>IF(9&lt;=DAY(DATE('Billable summary'!$C$4,3,0)),DATE('Billable summary'!$C$4,2,9),"")</f>
        <v>46427</v>
      </c>
      <c r="L5" s="48" t="n">
        <f>IF(10&lt;=DAY(DATE('Billable summary'!$C$4,3,0)),DATE('Billable summary'!$C$4,2,10),"")</f>
        <v>46428</v>
      </c>
      <c r="M5" s="48" t="n">
        <f>IF(11&lt;=DAY(DATE('Billable summary'!$C$4,3,0)),DATE('Billable summary'!$C$4,2,11),"")</f>
        <v>46429</v>
      </c>
      <c r="N5" s="48" t="n">
        <f>IF(12&lt;=DAY(DATE('Billable summary'!$C$4,3,0)),DATE('Billable summary'!$C$4,2,12),"")</f>
        <v>46430</v>
      </c>
      <c r="O5" s="48" t="n">
        <f>IF(13&lt;=DAY(DATE('Billable summary'!$C$4,3,0)),DATE('Billable summary'!$C$4,2,13),"")</f>
        <v>46431</v>
      </c>
      <c r="P5" s="48" t="n">
        <f>IF(14&lt;=DAY(DATE('Billable summary'!$C$4,3,0)),DATE('Billable summary'!$C$4,2,14),"")</f>
        <v>46432</v>
      </c>
      <c r="Q5" s="48" t="n">
        <f>IF(15&lt;=DAY(DATE('Billable summary'!$C$4,3,0)),DATE('Billable summary'!$C$4,2,15),"")</f>
        <v>46433</v>
      </c>
      <c r="R5" s="48" t="n">
        <f>IF(16&lt;=DAY(DATE('Billable summary'!$C$4,3,0)),DATE('Billable summary'!$C$4,2,16),"")</f>
        <v>46434</v>
      </c>
      <c r="S5" s="48" t="n">
        <f>IF(17&lt;=DAY(DATE('Billable summary'!$C$4,3,0)),DATE('Billable summary'!$C$4,2,17),"")</f>
        <v>46435</v>
      </c>
      <c r="T5" s="48" t="n">
        <f>IF(18&lt;=DAY(DATE('Billable summary'!$C$4,3,0)),DATE('Billable summary'!$C$4,2,18),"")</f>
        <v>46436</v>
      </c>
      <c r="U5" s="48" t="n">
        <f>IF(19&lt;=DAY(DATE('Billable summary'!$C$4,3,0)),DATE('Billable summary'!$C$4,2,19),"")</f>
        <v>46437</v>
      </c>
      <c r="V5" s="48" t="n">
        <f>IF(20&lt;=DAY(DATE('Billable summary'!$C$4,3,0)),DATE('Billable summary'!$C$4,2,20),"")</f>
        <v>46438</v>
      </c>
      <c r="W5" s="48" t="n">
        <f>IF(21&lt;=DAY(DATE('Billable summary'!$C$4,3,0)),DATE('Billable summary'!$C$4,2,21),"")</f>
        <v>46439</v>
      </c>
      <c r="X5" s="48" t="n">
        <f>IF(22&lt;=DAY(DATE('Billable summary'!$C$4,3,0)),DATE('Billable summary'!$C$4,2,22),"")</f>
        <v>46440</v>
      </c>
      <c r="Y5" s="48" t="n">
        <f>IF(23&lt;=DAY(DATE('Billable summary'!$C$4,3,0)),DATE('Billable summary'!$C$4,2,23),"")</f>
        <v>46441</v>
      </c>
      <c r="Z5" s="48" t="n">
        <f>IF(24&lt;=DAY(DATE('Billable summary'!$C$4,3,0)),DATE('Billable summary'!$C$4,2,24),"")</f>
        <v>46442</v>
      </c>
      <c r="AA5" s="48" t="n">
        <f>IF(25&lt;=DAY(DATE('Billable summary'!$C$4,3,0)),DATE('Billable summary'!$C$4,2,25),"")</f>
        <v>46443</v>
      </c>
      <c r="AB5" s="48" t="n">
        <f>IF(26&lt;=DAY(DATE('Billable summary'!$C$4,3,0)),DATE('Billable summary'!$C$4,2,26),"")</f>
        <v>46444</v>
      </c>
      <c r="AC5" s="48" t="n">
        <f>IF(27&lt;=DAY(DATE('Billable summary'!$C$4,3,0)),DATE('Billable summary'!$C$4,2,27),"")</f>
        <v>46445</v>
      </c>
      <c r="AD5" s="48" t="n">
        <f>IF(28&lt;=DAY(DATE('Billable summary'!$C$4,3,0)),DATE('Billable summary'!$C$4,2,28),"")</f>
        <v>46446</v>
      </c>
      <c r="AE5" s="48" t="str">
        <f>IF(29&lt;=DAY(DATE('Billable summary'!$C$4,3,0)),DATE('Billable summary'!$C$4,2,29),"")</f>
      </c>
      <c r="AF5" s="48" t="str">
        <f>IF(30&lt;=DAY(DATE('Billable summary'!$C$4,3,0)),DATE('Billable summary'!$C$4,2,30),"")</f>
      </c>
      <c r="AG5" s="48" t="str">
        <f>IF(31&lt;=DAY(DATE('Billable summary'!$C$4,3,0)),DATE('Billable summary'!$C$4,2,31),"")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46419</v>
      </c>
      <c r="D6" s="142" t="n">
        <f>IF(D$5="","",D$5)</f>
        <v>46420</v>
      </c>
      <c r="E6" s="142" t="n">
        <f>IF(E$5="","",E$5)</f>
        <v>46421</v>
      </c>
      <c r="F6" s="142" t="n">
        <f>IF(F$5="","",F$5)</f>
        <v>46422</v>
      </c>
      <c r="G6" s="142" t="n">
        <f>IF(G$5="","",G$5)</f>
        <v>46423</v>
      </c>
      <c r="H6" s="142" t="n">
        <f>IF(H$5="","",H$5)</f>
        <v>46424</v>
      </c>
      <c r="I6" s="142" t="n">
        <f>IF(I$5="","",I$5)</f>
        <v>46425</v>
      </c>
      <c r="J6" s="142" t="n">
        <f>IF(J$5="","",J$5)</f>
        <v>46426</v>
      </c>
      <c r="K6" s="142" t="n">
        <f>IF(K$5="","",K$5)</f>
        <v>46427</v>
      </c>
      <c r="L6" s="142" t="n">
        <f>IF(L$5="","",L$5)</f>
        <v>46428</v>
      </c>
      <c r="M6" s="142" t="n">
        <f>IF(M$5="","",M$5)</f>
        <v>46429</v>
      </c>
      <c r="N6" s="142" t="n">
        <f>IF(N$5="","",N$5)</f>
        <v>46430</v>
      </c>
      <c r="O6" s="142" t="n">
        <f>IF(O$5="","",O$5)</f>
        <v>46431</v>
      </c>
      <c r="P6" s="142" t="n">
        <f>IF(P$5="","",P$5)</f>
        <v>46432</v>
      </c>
      <c r="Q6" s="142" t="n">
        <f>IF(Q$5="","",Q$5)</f>
        <v>46433</v>
      </c>
      <c r="R6" s="142" t="n">
        <f>IF(R$5="","",R$5)</f>
        <v>46434</v>
      </c>
      <c r="S6" s="142" t="n">
        <f>IF(S$5="","",S$5)</f>
        <v>46435</v>
      </c>
      <c r="T6" s="142" t="n">
        <f>IF(T$5="","",T$5)</f>
        <v>46436</v>
      </c>
      <c r="U6" s="142" t="n">
        <f>IF(U$5="","",U$5)</f>
        <v>46437</v>
      </c>
      <c r="V6" s="142" t="n">
        <f>IF(V$5="","",V$5)</f>
        <v>46438</v>
      </c>
      <c r="W6" s="142" t="n">
        <f>IF(W$5="","",W$5)</f>
        <v>46439</v>
      </c>
      <c r="X6" s="142" t="n">
        <f>IF(X$5="","",X$5)</f>
        <v>46440</v>
      </c>
      <c r="Y6" s="142" t="n">
        <f>IF(Y$5="","",Y$5)</f>
        <v>46441</v>
      </c>
      <c r="Z6" s="142" t="n">
        <f>IF(Z$5="","",Z$5)</f>
        <v>46442</v>
      </c>
      <c r="AA6" s="142" t="n">
        <f>IF(AA$5="","",AA$5)</f>
        <v>46443</v>
      </c>
      <c r="AB6" s="142" t="n">
        <f>IF(AB$5="","",AB$5)</f>
        <v>46444</v>
      </c>
      <c r="AC6" s="142" t="n">
        <f>IF(AC$5="","",AC$5)</f>
        <v>46445</v>
      </c>
      <c r="AD6" s="142" t="n">
        <f>IF(AD$5="","",AD$5)</f>
        <v>46446</v>
      </c>
      <c r="AE6" s="142" t="str">
        <f>IF(AE$5="","",AE$5)</f>
      </c>
      <c r="AF6" s="142" t="str">
        <f>IF(AF$5="","",AF$5)</f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str">
        <f>IF(AE$5="","",SUM(AE7:AE16))</f>
      </c>
      <c r="AF17" s="146" t="str">
        <f>IF(AF$5="","",SUM(AF7:AF16))</f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46419</v>
      </c>
      <c r="D19" s="142" t="n">
        <f>IF(D$5="","",D$5)</f>
        <v>46420</v>
      </c>
      <c r="E19" s="142" t="n">
        <f>IF(E$5="","",E$5)</f>
        <v>46421</v>
      </c>
      <c r="F19" s="142" t="n">
        <f>IF(F$5="","",F$5)</f>
        <v>46422</v>
      </c>
      <c r="G19" s="142" t="n">
        <f>IF(G$5="","",G$5)</f>
        <v>46423</v>
      </c>
      <c r="H19" s="142" t="n">
        <f>IF(H$5="","",H$5)</f>
        <v>46424</v>
      </c>
      <c r="I19" s="142" t="n">
        <f>IF(I$5="","",I$5)</f>
        <v>46425</v>
      </c>
      <c r="J19" s="142" t="n">
        <f>IF(J$5="","",J$5)</f>
        <v>46426</v>
      </c>
      <c r="K19" s="142" t="n">
        <f>IF(K$5="","",K$5)</f>
        <v>46427</v>
      </c>
      <c r="L19" s="142" t="n">
        <f>IF(L$5="","",L$5)</f>
        <v>46428</v>
      </c>
      <c r="M19" s="142" t="n">
        <f>IF(M$5="","",M$5)</f>
        <v>46429</v>
      </c>
      <c r="N19" s="142" t="n">
        <f>IF(N$5="","",N$5)</f>
        <v>46430</v>
      </c>
      <c r="O19" s="142" t="n">
        <f>IF(O$5="","",O$5)</f>
        <v>46431</v>
      </c>
      <c r="P19" s="142" t="n">
        <f>IF(P$5="","",P$5)</f>
        <v>46432</v>
      </c>
      <c r="Q19" s="142" t="n">
        <f>IF(Q$5="","",Q$5)</f>
        <v>46433</v>
      </c>
      <c r="R19" s="142" t="n">
        <f>IF(R$5="","",R$5)</f>
        <v>46434</v>
      </c>
      <c r="S19" s="142" t="n">
        <f>IF(S$5="","",S$5)</f>
        <v>46435</v>
      </c>
      <c r="T19" s="142" t="n">
        <f>IF(T$5="","",T$5)</f>
        <v>46436</v>
      </c>
      <c r="U19" s="142" t="n">
        <f>IF(U$5="","",U$5)</f>
        <v>46437</v>
      </c>
      <c r="V19" s="142" t="n">
        <f>IF(V$5="","",V$5)</f>
        <v>46438</v>
      </c>
      <c r="W19" s="142" t="n">
        <f>IF(W$5="","",W$5)</f>
        <v>46439</v>
      </c>
      <c r="X19" s="142" t="n">
        <f>IF(X$5="","",X$5)</f>
        <v>46440</v>
      </c>
      <c r="Y19" s="142" t="n">
        <f>IF(Y$5="","",Y$5)</f>
        <v>46441</v>
      </c>
      <c r="Z19" s="142" t="n">
        <f>IF(Z$5="","",Z$5)</f>
        <v>46442</v>
      </c>
      <c r="AA19" s="142" t="n">
        <f>IF(AA$5="","",AA$5)</f>
        <v>46443</v>
      </c>
      <c r="AB19" s="142" t="n">
        <f>IF(AB$5="","",AB$5)</f>
        <v>46444</v>
      </c>
      <c r="AC19" s="142" t="n">
        <f>IF(AC$5="","",AC$5)</f>
        <v>46445</v>
      </c>
      <c r="AD19" s="142" t="n">
        <f>IF(AD$5="","",AD$5)</f>
        <v>46446</v>
      </c>
      <c r="AE19" s="142" t="str">
        <f>IF(AE$5="","",AE$5)</f>
      </c>
      <c r="AF19" s="142" t="str">
        <f>IF(AF$5="","",AF$5)</f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str">
        <f>IF(AE$5="","",SUM(AE20:AE25))</f>
      </c>
      <c r="AF26" s="146" t="str">
        <f>IF(AF$5="","",SUM(AF20:AF25))</f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str">
        <f>IF(AE$5="","",SUM(AE17,AE26))</f>
      </c>
      <c r="AF28" s="146" t="str">
        <f>IF(AF$5="","",SUM(AF17,AF26))</f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46419</v>
      </c>
      <c r="D30" s="48" t="n">
        <f>IF(D$5="","",D$5)</f>
        <v>46420</v>
      </c>
      <c r="E30" s="48" t="n">
        <f>IF(E$5="","",E$5)</f>
        <v>46421</v>
      </c>
      <c r="F30" s="48" t="n">
        <f>IF(F$5="","",F$5)</f>
        <v>46422</v>
      </c>
      <c r="G30" s="48" t="n">
        <f>IF(G$5="","",G$5)</f>
        <v>46423</v>
      </c>
      <c r="H30" s="48" t="n">
        <f>IF(H$5="","",H$5)</f>
        <v>46424</v>
      </c>
      <c r="I30" s="48" t="n">
        <f>IF(I$5="","",I$5)</f>
        <v>46425</v>
      </c>
      <c r="J30" s="48" t="n">
        <f>IF(J$5="","",J$5)</f>
        <v>46426</v>
      </c>
      <c r="K30" s="48" t="n">
        <f>IF(K$5="","",K$5)</f>
        <v>46427</v>
      </c>
      <c r="L30" s="48" t="n">
        <f>IF(L$5="","",L$5)</f>
        <v>46428</v>
      </c>
      <c r="M30" s="48" t="n">
        <f>IF(M$5="","",M$5)</f>
        <v>46429</v>
      </c>
      <c r="N30" s="48" t="n">
        <f>IF(N$5="","",N$5)</f>
        <v>46430</v>
      </c>
      <c r="O30" s="48" t="n">
        <f>IF(O$5="","",O$5)</f>
        <v>46431</v>
      </c>
      <c r="P30" s="48" t="n">
        <f>IF(P$5="","",P$5)</f>
        <v>46432</v>
      </c>
      <c r="Q30" s="48" t="n">
        <f>IF(Q$5="","",Q$5)</f>
        <v>46433</v>
      </c>
      <c r="R30" s="48" t="n">
        <f>IF(R$5="","",R$5)</f>
        <v>46434</v>
      </c>
      <c r="S30" s="48" t="n">
        <f>IF(S$5="","",S$5)</f>
        <v>46435</v>
      </c>
      <c r="T30" s="48" t="n">
        <f>IF(T$5="","",T$5)</f>
        <v>46436</v>
      </c>
      <c r="U30" s="48" t="n">
        <f>IF(U$5="","",U$5)</f>
        <v>46437</v>
      </c>
      <c r="V30" s="48" t="n">
        <f>IF(V$5="","",V$5)</f>
        <v>46438</v>
      </c>
      <c r="W30" s="48" t="n">
        <f>IF(W$5="","",W$5)</f>
        <v>46439</v>
      </c>
      <c r="X30" s="48" t="n">
        <f>IF(X$5="","",X$5)</f>
        <v>46440</v>
      </c>
      <c r="Y30" s="48" t="n">
        <f>IF(Y$5="","",Y$5)</f>
        <v>46441</v>
      </c>
      <c r="Z30" s="48" t="n">
        <f>IF(Z$5="","",Z$5)</f>
        <v>46442</v>
      </c>
      <c r="AA30" s="48" t="n">
        <f>IF(AA$5="","",AA$5)</f>
        <v>46443</v>
      </c>
      <c r="AB30" s="48" t="n">
        <f>IF(AB$5="","",AB$5)</f>
        <v>46444</v>
      </c>
      <c r="AC30" s="48" t="n">
        <f>IF(AC$5="","",AC$5)</f>
        <v>46445</v>
      </c>
      <c r="AD30" s="48" t="n">
        <f>IF(AD$5="","",AD$5)</f>
        <v>46446</v>
      </c>
      <c r="AE30" s="48" t="str">
        <f>IF(AE$5="","",AE$5)</f>
      </c>
      <c r="AF30" s="48" t="str">
        <f>IF(AF$5="","",AF$5)</f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46419</v>
      </c>
      <c r="D31" s="142" t="n">
        <f>IF(D$5="","",D$5)</f>
        <v>46420</v>
      </c>
      <c r="E31" s="142" t="n">
        <f>IF(E$5="","",E$5)</f>
        <v>46421</v>
      </c>
      <c r="F31" s="142" t="n">
        <f>IF(F$5="","",F$5)</f>
        <v>46422</v>
      </c>
      <c r="G31" s="142" t="n">
        <f>IF(G$5="","",G$5)</f>
        <v>46423</v>
      </c>
      <c r="H31" s="142" t="n">
        <f>IF(H$5="","",H$5)</f>
        <v>46424</v>
      </c>
      <c r="I31" s="142" t="n">
        <f>IF(I$5="","",I$5)</f>
        <v>46425</v>
      </c>
      <c r="J31" s="142" t="n">
        <f>IF(J$5="","",J$5)</f>
        <v>46426</v>
      </c>
      <c r="K31" s="142" t="n">
        <f>IF(K$5="","",K$5)</f>
        <v>46427</v>
      </c>
      <c r="L31" s="142" t="n">
        <f>IF(L$5="","",L$5)</f>
        <v>46428</v>
      </c>
      <c r="M31" s="142" t="n">
        <f>IF(M$5="","",M$5)</f>
        <v>46429</v>
      </c>
      <c r="N31" s="142" t="n">
        <f>IF(N$5="","",N$5)</f>
        <v>46430</v>
      </c>
      <c r="O31" s="142" t="n">
        <f>IF(O$5="","",O$5)</f>
        <v>46431</v>
      </c>
      <c r="P31" s="142" t="n">
        <f>IF(P$5="","",P$5)</f>
        <v>46432</v>
      </c>
      <c r="Q31" s="142" t="n">
        <f>IF(Q$5="","",Q$5)</f>
        <v>46433</v>
      </c>
      <c r="R31" s="142" t="n">
        <f>IF(R$5="","",R$5)</f>
        <v>46434</v>
      </c>
      <c r="S31" s="142" t="n">
        <f>IF(S$5="","",S$5)</f>
        <v>46435</v>
      </c>
      <c r="T31" s="142" t="n">
        <f>IF(T$5="","",T$5)</f>
        <v>46436</v>
      </c>
      <c r="U31" s="142" t="n">
        <f>IF(U$5="","",U$5)</f>
        <v>46437</v>
      </c>
      <c r="V31" s="142" t="n">
        <f>IF(V$5="","",V$5)</f>
        <v>46438</v>
      </c>
      <c r="W31" s="142" t="n">
        <f>IF(W$5="","",W$5)</f>
        <v>46439</v>
      </c>
      <c r="X31" s="142" t="n">
        <f>IF(X$5="","",X$5)</f>
        <v>46440</v>
      </c>
      <c r="Y31" s="142" t="n">
        <f>IF(Y$5="","",Y$5)</f>
        <v>46441</v>
      </c>
      <c r="Z31" s="142" t="n">
        <f>IF(Z$5="","",Z$5)</f>
        <v>46442</v>
      </c>
      <c r="AA31" s="142" t="n">
        <f>IF(AA$5="","",AA$5)</f>
        <v>46443</v>
      </c>
      <c r="AB31" s="142" t="n">
        <f>IF(AB$5="","",AB$5)</f>
        <v>46444</v>
      </c>
      <c r="AC31" s="142" t="n">
        <f>IF(AC$5="","",AC$5)</f>
        <v>46445</v>
      </c>
      <c r="AD31" s="142" t="n">
        <f>IF(AD$5="","",AD$5)</f>
        <v>46446</v>
      </c>
      <c r="AE31" s="142" t="str">
        <f>IF(AE$5="","",AE$5)</f>
      </c>
      <c r="AF31" s="142" t="str">
        <f>IF(AF$5="","",AF$5)</f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str">
        <f>IF(AE$5="","",SUM(AE32:AE35))</f>
      </c>
      <c r="AF36" s="146" t="str">
        <f>IF(AF$5="","",SUM(AF32:AF35))</f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summary'!$C$4,2,1),DATE('Billable summary'!$C$4,3,0))</f>
        <v>20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160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120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120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64" priority="1">
      <formula>OR(C$5="",WEEKDAY(C$5,2)&gt;5)</formula>
    </cfRule>
    <cfRule type="expression" dxfId="65" priority="2">
      <formula>AND(C$5="",NOT(ISBLANK(C7)))</formula>
    </cfRule>
  </conditionalFormatting>
  <conditionalFormatting sqref="C20:AG25">
    <cfRule type="expression" dxfId="66" priority="3">
      <formula>OR(C$5="",WEEKDAY(C$5,2)&gt;5)</formula>
    </cfRule>
    <cfRule type="expression" dxfId="67" priority="4">
      <formula>AND(C$5="",NOT(ISBLANK(C20)))</formula>
    </cfRule>
  </conditionalFormatting>
  <conditionalFormatting sqref="C32:AG35">
    <cfRule type="expression" dxfId="68" priority="5">
      <formula>OR(C$5="",WEEKDAY(C$5,2)&gt;5)</formula>
    </cfRule>
    <cfRule type="expression" dxfId="69" priority="6">
      <formula>AND(C$5="",NOT(ISBLANK(C32)))</formula>
    </cfRule>
  </conditionalFormatting>
  <conditionalFormatting sqref="I43:K43">
    <cfRule type="expression" dxfId="70" priority="7">
      <formula>AND(ISNUMBER($I$43),$I$43&gt;=$I$44)</formula>
    </cfRule>
    <cfRule type="expression" dxfId="71" priority="8">
      <formula>AND(ISNUMBER($I$43),$I$43&lt;$I$44)</formula>
    </cfRule>
  </conditionalFormatting>
  <conditionalFormatting sqref="B51:AH51">
    <cfRule type="containsText" dxfId="72" priority="9" operator="containsText" text="Check"/>
    <cfRule type="containsText" dxfId="73" priority="10" operator="containsText" text="Invalid"/>
    <cfRule type="containsText" dxfId="74" priority="11" operator="containsText" text="Negative"/>
    <cfRule type="containsText" dxfId="7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summary'!$C$4,3,1),"mmmm yyyy")</f>
        <v>March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summary'!$C$4,4,0)),DATE('Billable summary'!$C$4,3,1),"")</f>
        <v>46447</v>
      </c>
      <c r="D5" s="48" t="n">
        <f>IF(2&lt;=DAY(DATE('Billable summary'!$C$4,4,0)),DATE('Billable summary'!$C$4,3,2),"")</f>
        <v>46448</v>
      </c>
      <c r="E5" s="48" t="n">
        <f>IF(3&lt;=DAY(DATE('Billable summary'!$C$4,4,0)),DATE('Billable summary'!$C$4,3,3),"")</f>
        <v>46449</v>
      </c>
      <c r="F5" s="48" t="n">
        <f>IF(4&lt;=DAY(DATE('Billable summary'!$C$4,4,0)),DATE('Billable summary'!$C$4,3,4),"")</f>
        <v>46450</v>
      </c>
      <c r="G5" s="48" t="n">
        <f>IF(5&lt;=DAY(DATE('Billable summary'!$C$4,4,0)),DATE('Billable summary'!$C$4,3,5),"")</f>
        <v>46451</v>
      </c>
      <c r="H5" s="48" t="n">
        <f>IF(6&lt;=DAY(DATE('Billable summary'!$C$4,4,0)),DATE('Billable summary'!$C$4,3,6),"")</f>
        <v>46452</v>
      </c>
      <c r="I5" s="48" t="n">
        <f>IF(7&lt;=DAY(DATE('Billable summary'!$C$4,4,0)),DATE('Billable summary'!$C$4,3,7),"")</f>
        <v>46453</v>
      </c>
      <c r="J5" s="48" t="n">
        <f>IF(8&lt;=DAY(DATE('Billable summary'!$C$4,4,0)),DATE('Billable summary'!$C$4,3,8),"")</f>
        <v>46454</v>
      </c>
      <c r="K5" s="48" t="n">
        <f>IF(9&lt;=DAY(DATE('Billable summary'!$C$4,4,0)),DATE('Billable summary'!$C$4,3,9),"")</f>
        <v>46455</v>
      </c>
      <c r="L5" s="48" t="n">
        <f>IF(10&lt;=DAY(DATE('Billable summary'!$C$4,4,0)),DATE('Billable summary'!$C$4,3,10),"")</f>
        <v>46456</v>
      </c>
      <c r="M5" s="48" t="n">
        <f>IF(11&lt;=DAY(DATE('Billable summary'!$C$4,4,0)),DATE('Billable summary'!$C$4,3,11),"")</f>
        <v>46457</v>
      </c>
      <c r="N5" s="48" t="n">
        <f>IF(12&lt;=DAY(DATE('Billable summary'!$C$4,4,0)),DATE('Billable summary'!$C$4,3,12),"")</f>
        <v>46458</v>
      </c>
      <c r="O5" s="48" t="n">
        <f>IF(13&lt;=DAY(DATE('Billable summary'!$C$4,4,0)),DATE('Billable summary'!$C$4,3,13),"")</f>
        <v>46459</v>
      </c>
      <c r="P5" s="48" t="n">
        <f>IF(14&lt;=DAY(DATE('Billable summary'!$C$4,4,0)),DATE('Billable summary'!$C$4,3,14),"")</f>
        <v>46460</v>
      </c>
      <c r="Q5" s="48" t="n">
        <f>IF(15&lt;=DAY(DATE('Billable summary'!$C$4,4,0)),DATE('Billable summary'!$C$4,3,15),"")</f>
        <v>46461</v>
      </c>
      <c r="R5" s="48" t="n">
        <f>IF(16&lt;=DAY(DATE('Billable summary'!$C$4,4,0)),DATE('Billable summary'!$C$4,3,16),"")</f>
        <v>46462</v>
      </c>
      <c r="S5" s="48" t="n">
        <f>IF(17&lt;=DAY(DATE('Billable summary'!$C$4,4,0)),DATE('Billable summary'!$C$4,3,17),"")</f>
        <v>46463</v>
      </c>
      <c r="T5" s="48" t="n">
        <f>IF(18&lt;=DAY(DATE('Billable summary'!$C$4,4,0)),DATE('Billable summary'!$C$4,3,18),"")</f>
        <v>46464</v>
      </c>
      <c r="U5" s="48" t="n">
        <f>IF(19&lt;=DAY(DATE('Billable summary'!$C$4,4,0)),DATE('Billable summary'!$C$4,3,19),"")</f>
        <v>46465</v>
      </c>
      <c r="V5" s="48" t="n">
        <f>IF(20&lt;=DAY(DATE('Billable summary'!$C$4,4,0)),DATE('Billable summary'!$C$4,3,20),"")</f>
        <v>46466</v>
      </c>
      <c r="W5" s="48" t="n">
        <f>IF(21&lt;=DAY(DATE('Billable summary'!$C$4,4,0)),DATE('Billable summary'!$C$4,3,21),"")</f>
        <v>46467</v>
      </c>
      <c r="X5" s="48" t="n">
        <f>IF(22&lt;=DAY(DATE('Billable summary'!$C$4,4,0)),DATE('Billable summary'!$C$4,3,22),"")</f>
        <v>46468</v>
      </c>
      <c r="Y5" s="48" t="n">
        <f>IF(23&lt;=DAY(DATE('Billable summary'!$C$4,4,0)),DATE('Billable summary'!$C$4,3,23),"")</f>
        <v>46469</v>
      </c>
      <c r="Z5" s="48" t="n">
        <f>IF(24&lt;=DAY(DATE('Billable summary'!$C$4,4,0)),DATE('Billable summary'!$C$4,3,24),"")</f>
        <v>46470</v>
      </c>
      <c r="AA5" s="48" t="n">
        <f>IF(25&lt;=DAY(DATE('Billable summary'!$C$4,4,0)),DATE('Billable summary'!$C$4,3,25),"")</f>
        <v>46471</v>
      </c>
      <c r="AB5" s="48" t="n">
        <f>IF(26&lt;=DAY(DATE('Billable summary'!$C$4,4,0)),DATE('Billable summary'!$C$4,3,26),"")</f>
        <v>46472</v>
      </c>
      <c r="AC5" s="48" t="n">
        <f>IF(27&lt;=DAY(DATE('Billable summary'!$C$4,4,0)),DATE('Billable summary'!$C$4,3,27),"")</f>
        <v>46473</v>
      </c>
      <c r="AD5" s="48" t="n">
        <f>IF(28&lt;=DAY(DATE('Billable summary'!$C$4,4,0)),DATE('Billable summary'!$C$4,3,28),"")</f>
        <v>46474</v>
      </c>
      <c r="AE5" s="48" t="n">
        <f>IF(29&lt;=DAY(DATE('Billable summary'!$C$4,4,0)),DATE('Billable summary'!$C$4,3,29),"")</f>
        <v>46475</v>
      </c>
      <c r="AF5" s="48" t="n">
        <f>IF(30&lt;=DAY(DATE('Billable summary'!$C$4,4,0)),DATE('Billable summary'!$C$4,3,30),"")</f>
        <v>46476</v>
      </c>
      <c r="AG5" s="48" t="n">
        <f>IF(31&lt;=DAY(DATE('Billable summary'!$C$4,4,0)),DATE('Billable summary'!$C$4,3,31),"")</f>
        <v>46477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46447</v>
      </c>
      <c r="D6" s="142" t="n">
        <f>IF(D$5="","",D$5)</f>
        <v>46448</v>
      </c>
      <c r="E6" s="142" t="n">
        <f>IF(E$5="","",E$5)</f>
        <v>46449</v>
      </c>
      <c r="F6" s="142" t="n">
        <f>IF(F$5="","",F$5)</f>
        <v>46450</v>
      </c>
      <c r="G6" s="142" t="n">
        <f>IF(G$5="","",G$5)</f>
        <v>46451</v>
      </c>
      <c r="H6" s="142" t="n">
        <f>IF(H$5="","",H$5)</f>
        <v>46452</v>
      </c>
      <c r="I6" s="142" t="n">
        <f>IF(I$5="","",I$5)</f>
        <v>46453</v>
      </c>
      <c r="J6" s="142" t="n">
        <f>IF(J$5="","",J$5)</f>
        <v>46454</v>
      </c>
      <c r="K6" s="142" t="n">
        <f>IF(K$5="","",K$5)</f>
        <v>46455</v>
      </c>
      <c r="L6" s="142" t="n">
        <f>IF(L$5="","",L$5)</f>
        <v>46456</v>
      </c>
      <c r="M6" s="142" t="n">
        <f>IF(M$5="","",M$5)</f>
        <v>46457</v>
      </c>
      <c r="N6" s="142" t="n">
        <f>IF(N$5="","",N$5)</f>
        <v>46458</v>
      </c>
      <c r="O6" s="142" t="n">
        <f>IF(O$5="","",O$5)</f>
        <v>46459</v>
      </c>
      <c r="P6" s="142" t="n">
        <f>IF(P$5="","",P$5)</f>
        <v>46460</v>
      </c>
      <c r="Q6" s="142" t="n">
        <f>IF(Q$5="","",Q$5)</f>
        <v>46461</v>
      </c>
      <c r="R6" s="142" t="n">
        <f>IF(R$5="","",R$5)</f>
        <v>46462</v>
      </c>
      <c r="S6" s="142" t="n">
        <f>IF(S$5="","",S$5)</f>
        <v>46463</v>
      </c>
      <c r="T6" s="142" t="n">
        <f>IF(T$5="","",T$5)</f>
        <v>46464</v>
      </c>
      <c r="U6" s="142" t="n">
        <f>IF(U$5="","",U$5)</f>
        <v>46465</v>
      </c>
      <c r="V6" s="142" t="n">
        <f>IF(V$5="","",V$5)</f>
        <v>46466</v>
      </c>
      <c r="W6" s="142" t="n">
        <f>IF(W$5="","",W$5)</f>
        <v>46467</v>
      </c>
      <c r="X6" s="142" t="n">
        <f>IF(X$5="","",X$5)</f>
        <v>46468</v>
      </c>
      <c r="Y6" s="142" t="n">
        <f>IF(Y$5="","",Y$5)</f>
        <v>46469</v>
      </c>
      <c r="Z6" s="142" t="n">
        <f>IF(Z$5="","",Z$5)</f>
        <v>46470</v>
      </c>
      <c r="AA6" s="142" t="n">
        <f>IF(AA$5="","",AA$5)</f>
        <v>46471</v>
      </c>
      <c r="AB6" s="142" t="n">
        <f>IF(AB$5="","",AB$5)</f>
        <v>46472</v>
      </c>
      <c r="AC6" s="142" t="n">
        <f>IF(AC$5="","",AC$5)</f>
        <v>46473</v>
      </c>
      <c r="AD6" s="142" t="n">
        <f>IF(AD$5="","",AD$5)</f>
        <v>46474</v>
      </c>
      <c r="AE6" s="142" t="n">
        <f>IF(AE$5="","",AE$5)</f>
        <v>46475</v>
      </c>
      <c r="AF6" s="142" t="n">
        <f>IF(AF$5="","",AF$5)</f>
        <v>46476</v>
      </c>
      <c r="AG6" s="142" t="n">
        <f>IF(AG$5="","",AG$5)</f>
        <v>46477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46447</v>
      </c>
      <c r="D19" s="142" t="n">
        <f>IF(D$5="","",D$5)</f>
        <v>46448</v>
      </c>
      <c r="E19" s="142" t="n">
        <f>IF(E$5="","",E$5)</f>
        <v>46449</v>
      </c>
      <c r="F19" s="142" t="n">
        <f>IF(F$5="","",F$5)</f>
        <v>46450</v>
      </c>
      <c r="G19" s="142" t="n">
        <f>IF(G$5="","",G$5)</f>
        <v>46451</v>
      </c>
      <c r="H19" s="142" t="n">
        <f>IF(H$5="","",H$5)</f>
        <v>46452</v>
      </c>
      <c r="I19" s="142" t="n">
        <f>IF(I$5="","",I$5)</f>
        <v>46453</v>
      </c>
      <c r="J19" s="142" t="n">
        <f>IF(J$5="","",J$5)</f>
        <v>46454</v>
      </c>
      <c r="K19" s="142" t="n">
        <f>IF(K$5="","",K$5)</f>
        <v>46455</v>
      </c>
      <c r="L19" s="142" t="n">
        <f>IF(L$5="","",L$5)</f>
        <v>46456</v>
      </c>
      <c r="M19" s="142" t="n">
        <f>IF(M$5="","",M$5)</f>
        <v>46457</v>
      </c>
      <c r="N19" s="142" t="n">
        <f>IF(N$5="","",N$5)</f>
        <v>46458</v>
      </c>
      <c r="O19" s="142" t="n">
        <f>IF(O$5="","",O$5)</f>
        <v>46459</v>
      </c>
      <c r="P19" s="142" t="n">
        <f>IF(P$5="","",P$5)</f>
        <v>46460</v>
      </c>
      <c r="Q19" s="142" t="n">
        <f>IF(Q$5="","",Q$5)</f>
        <v>46461</v>
      </c>
      <c r="R19" s="142" t="n">
        <f>IF(R$5="","",R$5)</f>
        <v>46462</v>
      </c>
      <c r="S19" s="142" t="n">
        <f>IF(S$5="","",S$5)</f>
        <v>46463</v>
      </c>
      <c r="T19" s="142" t="n">
        <f>IF(T$5="","",T$5)</f>
        <v>46464</v>
      </c>
      <c r="U19" s="142" t="n">
        <f>IF(U$5="","",U$5)</f>
        <v>46465</v>
      </c>
      <c r="V19" s="142" t="n">
        <f>IF(V$5="","",V$5)</f>
        <v>46466</v>
      </c>
      <c r="W19" s="142" t="n">
        <f>IF(W$5="","",W$5)</f>
        <v>46467</v>
      </c>
      <c r="X19" s="142" t="n">
        <f>IF(X$5="","",X$5)</f>
        <v>46468</v>
      </c>
      <c r="Y19" s="142" t="n">
        <f>IF(Y$5="","",Y$5)</f>
        <v>46469</v>
      </c>
      <c r="Z19" s="142" t="n">
        <f>IF(Z$5="","",Z$5)</f>
        <v>46470</v>
      </c>
      <c r="AA19" s="142" t="n">
        <f>IF(AA$5="","",AA$5)</f>
        <v>46471</v>
      </c>
      <c r="AB19" s="142" t="n">
        <f>IF(AB$5="","",AB$5)</f>
        <v>46472</v>
      </c>
      <c r="AC19" s="142" t="n">
        <f>IF(AC$5="","",AC$5)</f>
        <v>46473</v>
      </c>
      <c r="AD19" s="142" t="n">
        <f>IF(AD$5="","",AD$5)</f>
        <v>46474</v>
      </c>
      <c r="AE19" s="142" t="n">
        <f>IF(AE$5="","",AE$5)</f>
        <v>46475</v>
      </c>
      <c r="AF19" s="142" t="n">
        <f>IF(AF$5="","",AF$5)</f>
        <v>46476</v>
      </c>
      <c r="AG19" s="142" t="n">
        <f>IF(AG$5="","",AG$5)</f>
        <v>46477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46447</v>
      </c>
      <c r="D30" s="48" t="n">
        <f>IF(D$5="","",D$5)</f>
        <v>46448</v>
      </c>
      <c r="E30" s="48" t="n">
        <f>IF(E$5="","",E$5)</f>
        <v>46449</v>
      </c>
      <c r="F30" s="48" t="n">
        <f>IF(F$5="","",F$5)</f>
        <v>46450</v>
      </c>
      <c r="G30" s="48" t="n">
        <f>IF(G$5="","",G$5)</f>
        <v>46451</v>
      </c>
      <c r="H30" s="48" t="n">
        <f>IF(H$5="","",H$5)</f>
        <v>46452</v>
      </c>
      <c r="I30" s="48" t="n">
        <f>IF(I$5="","",I$5)</f>
        <v>46453</v>
      </c>
      <c r="J30" s="48" t="n">
        <f>IF(J$5="","",J$5)</f>
        <v>46454</v>
      </c>
      <c r="K30" s="48" t="n">
        <f>IF(K$5="","",K$5)</f>
        <v>46455</v>
      </c>
      <c r="L30" s="48" t="n">
        <f>IF(L$5="","",L$5)</f>
        <v>46456</v>
      </c>
      <c r="M30" s="48" t="n">
        <f>IF(M$5="","",M$5)</f>
        <v>46457</v>
      </c>
      <c r="N30" s="48" t="n">
        <f>IF(N$5="","",N$5)</f>
        <v>46458</v>
      </c>
      <c r="O30" s="48" t="n">
        <f>IF(O$5="","",O$5)</f>
        <v>46459</v>
      </c>
      <c r="P30" s="48" t="n">
        <f>IF(P$5="","",P$5)</f>
        <v>46460</v>
      </c>
      <c r="Q30" s="48" t="n">
        <f>IF(Q$5="","",Q$5)</f>
        <v>46461</v>
      </c>
      <c r="R30" s="48" t="n">
        <f>IF(R$5="","",R$5)</f>
        <v>46462</v>
      </c>
      <c r="S30" s="48" t="n">
        <f>IF(S$5="","",S$5)</f>
        <v>46463</v>
      </c>
      <c r="T30" s="48" t="n">
        <f>IF(T$5="","",T$5)</f>
        <v>46464</v>
      </c>
      <c r="U30" s="48" t="n">
        <f>IF(U$5="","",U$5)</f>
        <v>46465</v>
      </c>
      <c r="V30" s="48" t="n">
        <f>IF(V$5="","",V$5)</f>
        <v>46466</v>
      </c>
      <c r="W30" s="48" t="n">
        <f>IF(W$5="","",W$5)</f>
        <v>46467</v>
      </c>
      <c r="X30" s="48" t="n">
        <f>IF(X$5="","",X$5)</f>
        <v>46468</v>
      </c>
      <c r="Y30" s="48" t="n">
        <f>IF(Y$5="","",Y$5)</f>
        <v>46469</v>
      </c>
      <c r="Z30" s="48" t="n">
        <f>IF(Z$5="","",Z$5)</f>
        <v>46470</v>
      </c>
      <c r="AA30" s="48" t="n">
        <f>IF(AA$5="","",AA$5)</f>
        <v>46471</v>
      </c>
      <c r="AB30" s="48" t="n">
        <f>IF(AB$5="","",AB$5)</f>
        <v>46472</v>
      </c>
      <c r="AC30" s="48" t="n">
        <f>IF(AC$5="","",AC$5)</f>
        <v>46473</v>
      </c>
      <c r="AD30" s="48" t="n">
        <f>IF(AD$5="","",AD$5)</f>
        <v>46474</v>
      </c>
      <c r="AE30" s="48" t="n">
        <f>IF(AE$5="","",AE$5)</f>
        <v>46475</v>
      </c>
      <c r="AF30" s="48" t="n">
        <f>IF(AF$5="","",AF$5)</f>
        <v>46476</v>
      </c>
      <c r="AG30" s="48" t="n">
        <f>IF(AG$5="","",AG$5)</f>
        <v>46477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46447</v>
      </c>
      <c r="D31" s="142" t="n">
        <f>IF(D$5="","",D$5)</f>
        <v>46448</v>
      </c>
      <c r="E31" s="142" t="n">
        <f>IF(E$5="","",E$5)</f>
        <v>46449</v>
      </c>
      <c r="F31" s="142" t="n">
        <f>IF(F$5="","",F$5)</f>
        <v>46450</v>
      </c>
      <c r="G31" s="142" t="n">
        <f>IF(G$5="","",G$5)</f>
        <v>46451</v>
      </c>
      <c r="H31" s="142" t="n">
        <f>IF(H$5="","",H$5)</f>
        <v>46452</v>
      </c>
      <c r="I31" s="142" t="n">
        <f>IF(I$5="","",I$5)</f>
        <v>46453</v>
      </c>
      <c r="J31" s="142" t="n">
        <f>IF(J$5="","",J$5)</f>
        <v>46454</v>
      </c>
      <c r="K31" s="142" t="n">
        <f>IF(K$5="","",K$5)</f>
        <v>46455</v>
      </c>
      <c r="L31" s="142" t="n">
        <f>IF(L$5="","",L$5)</f>
        <v>46456</v>
      </c>
      <c r="M31" s="142" t="n">
        <f>IF(M$5="","",M$5)</f>
        <v>46457</v>
      </c>
      <c r="N31" s="142" t="n">
        <f>IF(N$5="","",N$5)</f>
        <v>46458</v>
      </c>
      <c r="O31" s="142" t="n">
        <f>IF(O$5="","",O$5)</f>
        <v>46459</v>
      </c>
      <c r="P31" s="142" t="n">
        <f>IF(P$5="","",P$5)</f>
        <v>46460</v>
      </c>
      <c r="Q31" s="142" t="n">
        <f>IF(Q$5="","",Q$5)</f>
        <v>46461</v>
      </c>
      <c r="R31" s="142" t="n">
        <f>IF(R$5="","",R$5)</f>
        <v>46462</v>
      </c>
      <c r="S31" s="142" t="n">
        <f>IF(S$5="","",S$5)</f>
        <v>46463</v>
      </c>
      <c r="T31" s="142" t="n">
        <f>IF(T$5="","",T$5)</f>
        <v>46464</v>
      </c>
      <c r="U31" s="142" t="n">
        <f>IF(U$5="","",U$5)</f>
        <v>46465</v>
      </c>
      <c r="V31" s="142" t="n">
        <f>IF(V$5="","",V$5)</f>
        <v>46466</v>
      </c>
      <c r="W31" s="142" t="n">
        <f>IF(W$5="","",W$5)</f>
        <v>46467</v>
      </c>
      <c r="X31" s="142" t="n">
        <f>IF(X$5="","",X$5)</f>
        <v>46468</v>
      </c>
      <c r="Y31" s="142" t="n">
        <f>IF(Y$5="","",Y$5)</f>
        <v>46469</v>
      </c>
      <c r="Z31" s="142" t="n">
        <f>IF(Z$5="","",Z$5)</f>
        <v>46470</v>
      </c>
      <c r="AA31" s="142" t="n">
        <f>IF(AA$5="","",AA$5)</f>
        <v>46471</v>
      </c>
      <c r="AB31" s="142" t="n">
        <f>IF(AB$5="","",AB$5)</f>
        <v>46472</v>
      </c>
      <c r="AC31" s="142" t="n">
        <f>IF(AC$5="","",AC$5)</f>
        <v>46473</v>
      </c>
      <c r="AD31" s="142" t="n">
        <f>IF(AD$5="","",AD$5)</f>
        <v>46474</v>
      </c>
      <c r="AE31" s="142" t="n">
        <f>IF(AE$5="","",AE$5)</f>
        <v>46475</v>
      </c>
      <c r="AF31" s="142" t="n">
        <f>IF(AF$5="","",AF$5)</f>
        <v>46476</v>
      </c>
      <c r="AG31" s="142" t="n">
        <f>IF(AG$5="","",AG$5)</f>
        <v>46477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summary'!$C$4,3,1),DATE('Billable summary'!$C$4,4,0))</f>
        <v>23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184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138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138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76" priority="1">
      <formula>OR(C$5="",WEEKDAY(C$5,2)&gt;5)</formula>
    </cfRule>
    <cfRule type="expression" dxfId="77" priority="2">
      <formula>AND(C$5="",NOT(ISBLANK(C7)))</formula>
    </cfRule>
  </conditionalFormatting>
  <conditionalFormatting sqref="C20:AG25">
    <cfRule type="expression" dxfId="78" priority="3">
      <formula>OR(C$5="",WEEKDAY(C$5,2)&gt;5)</formula>
    </cfRule>
    <cfRule type="expression" dxfId="79" priority="4">
      <formula>AND(C$5="",NOT(ISBLANK(C20)))</formula>
    </cfRule>
  </conditionalFormatting>
  <conditionalFormatting sqref="C32:AG35">
    <cfRule type="expression" dxfId="80" priority="5">
      <formula>OR(C$5="",WEEKDAY(C$5,2)&gt;5)</formula>
    </cfRule>
    <cfRule type="expression" dxfId="81" priority="6">
      <formula>AND(C$5="",NOT(ISBLANK(C32)))</formula>
    </cfRule>
  </conditionalFormatting>
  <conditionalFormatting sqref="I43:K43">
    <cfRule type="expression" dxfId="82" priority="7">
      <formula>AND(ISNUMBER($I$43),$I$43&gt;=$I$44)</formula>
    </cfRule>
    <cfRule type="expression" dxfId="83" priority="8">
      <formula>AND(ISNUMBER($I$43),$I$43&lt;$I$44)</formula>
    </cfRule>
  </conditionalFormatting>
  <conditionalFormatting sqref="B51:AH51">
    <cfRule type="containsText" dxfId="84" priority="9" operator="containsText" text="Check"/>
    <cfRule type="containsText" dxfId="85" priority="10" operator="containsText" text="Invalid"/>
    <cfRule type="containsText" dxfId="86" priority="11" operator="containsText" text="Negative"/>
    <cfRule type="containsText" dxfId="87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summary'!$C$4,4,1),"mmmm yyyy")</f>
        <v>April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summary'!$C$4,5,0)),DATE('Billable summary'!$C$4,4,1),"")</f>
        <v>46478</v>
      </c>
      <c r="D5" s="48" t="n">
        <f>IF(2&lt;=DAY(DATE('Billable summary'!$C$4,5,0)),DATE('Billable summary'!$C$4,4,2),"")</f>
        <v>46479</v>
      </c>
      <c r="E5" s="48" t="n">
        <f>IF(3&lt;=DAY(DATE('Billable summary'!$C$4,5,0)),DATE('Billable summary'!$C$4,4,3),"")</f>
        <v>46480</v>
      </c>
      <c r="F5" s="48" t="n">
        <f>IF(4&lt;=DAY(DATE('Billable summary'!$C$4,5,0)),DATE('Billable summary'!$C$4,4,4),"")</f>
        <v>46481</v>
      </c>
      <c r="G5" s="48" t="n">
        <f>IF(5&lt;=DAY(DATE('Billable summary'!$C$4,5,0)),DATE('Billable summary'!$C$4,4,5),"")</f>
        <v>46482</v>
      </c>
      <c r="H5" s="48" t="n">
        <f>IF(6&lt;=DAY(DATE('Billable summary'!$C$4,5,0)),DATE('Billable summary'!$C$4,4,6),"")</f>
        <v>46483</v>
      </c>
      <c r="I5" s="48" t="n">
        <f>IF(7&lt;=DAY(DATE('Billable summary'!$C$4,5,0)),DATE('Billable summary'!$C$4,4,7),"")</f>
        <v>46484</v>
      </c>
      <c r="J5" s="48" t="n">
        <f>IF(8&lt;=DAY(DATE('Billable summary'!$C$4,5,0)),DATE('Billable summary'!$C$4,4,8),"")</f>
        <v>46485</v>
      </c>
      <c r="K5" s="48" t="n">
        <f>IF(9&lt;=DAY(DATE('Billable summary'!$C$4,5,0)),DATE('Billable summary'!$C$4,4,9),"")</f>
        <v>46486</v>
      </c>
      <c r="L5" s="48" t="n">
        <f>IF(10&lt;=DAY(DATE('Billable summary'!$C$4,5,0)),DATE('Billable summary'!$C$4,4,10),"")</f>
        <v>46487</v>
      </c>
      <c r="M5" s="48" t="n">
        <f>IF(11&lt;=DAY(DATE('Billable summary'!$C$4,5,0)),DATE('Billable summary'!$C$4,4,11),"")</f>
        <v>46488</v>
      </c>
      <c r="N5" s="48" t="n">
        <f>IF(12&lt;=DAY(DATE('Billable summary'!$C$4,5,0)),DATE('Billable summary'!$C$4,4,12),"")</f>
        <v>46489</v>
      </c>
      <c r="O5" s="48" t="n">
        <f>IF(13&lt;=DAY(DATE('Billable summary'!$C$4,5,0)),DATE('Billable summary'!$C$4,4,13),"")</f>
        <v>46490</v>
      </c>
      <c r="P5" s="48" t="n">
        <f>IF(14&lt;=DAY(DATE('Billable summary'!$C$4,5,0)),DATE('Billable summary'!$C$4,4,14),"")</f>
        <v>46491</v>
      </c>
      <c r="Q5" s="48" t="n">
        <f>IF(15&lt;=DAY(DATE('Billable summary'!$C$4,5,0)),DATE('Billable summary'!$C$4,4,15),"")</f>
        <v>46492</v>
      </c>
      <c r="R5" s="48" t="n">
        <f>IF(16&lt;=DAY(DATE('Billable summary'!$C$4,5,0)),DATE('Billable summary'!$C$4,4,16),"")</f>
        <v>46493</v>
      </c>
      <c r="S5" s="48" t="n">
        <f>IF(17&lt;=DAY(DATE('Billable summary'!$C$4,5,0)),DATE('Billable summary'!$C$4,4,17),"")</f>
        <v>46494</v>
      </c>
      <c r="T5" s="48" t="n">
        <f>IF(18&lt;=DAY(DATE('Billable summary'!$C$4,5,0)),DATE('Billable summary'!$C$4,4,18),"")</f>
        <v>46495</v>
      </c>
      <c r="U5" s="48" t="n">
        <f>IF(19&lt;=DAY(DATE('Billable summary'!$C$4,5,0)),DATE('Billable summary'!$C$4,4,19),"")</f>
        <v>46496</v>
      </c>
      <c r="V5" s="48" t="n">
        <f>IF(20&lt;=DAY(DATE('Billable summary'!$C$4,5,0)),DATE('Billable summary'!$C$4,4,20),"")</f>
        <v>46497</v>
      </c>
      <c r="W5" s="48" t="n">
        <f>IF(21&lt;=DAY(DATE('Billable summary'!$C$4,5,0)),DATE('Billable summary'!$C$4,4,21),"")</f>
        <v>46498</v>
      </c>
      <c r="X5" s="48" t="n">
        <f>IF(22&lt;=DAY(DATE('Billable summary'!$C$4,5,0)),DATE('Billable summary'!$C$4,4,22),"")</f>
        <v>46499</v>
      </c>
      <c r="Y5" s="48" t="n">
        <f>IF(23&lt;=DAY(DATE('Billable summary'!$C$4,5,0)),DATE('Billable summary'!$C$4,4,23),"")</f>
        <v>46500</v>
      </c>
      <c r="Z5" s="48" t="n">
        <f>IF(24&lt;=DAY(DATE('Billable summary'!$C$4,5,0)),DATE('Billable summary'!$C$4,4,24),"")</f>
        <v>46501</v>
      </c>
      <c r="AA5" s="48" t="n">
        <f>IF(25&lt;=DAY(DATE('Billable summary'!$C$4,5,0)),DATE('Billable summary'!$C$4,4,25),"")</f>
        <v>46502</v>
      </c>
      <c r="AB5" s="48" t="n">
        <f>IF(26&lt;=DAY(DATE('Billable summary'!$C$4,5,0)),DATE('Billable summary'!$C$4,4,26),"")</f>
        <v>46503</v>
      </c>
      <c r="AC5" s="48" t="n">
        <f>IF(27&lt;=DAY(DATE('Billable summary'!$C$4,5,0)),DATE('Billable summary'!$C$4,4,27),"")</f>
        <v>46504</v>
      </c>
      <c r="AD5" s="48" t="n">
        <f>IF(28&lt;=DAY(DATE('Billable summary'!$C$4,5,0)),DATE('Billable summary'!$C$4,4,28),"")</f>
        <v>46505</v>
      </c>
      <c r="AE5" s="48" t="n">
        <f>IF(29&lt;=DAY(DATE('Billable summary'!$C$4,5,0)),DATE('Billable summary'!$C$4,4,29),"")</f>
        <v>46506</v>
      </c>
      <c r="AF5" s="48" t="n">
        <f>IF(30&lt;=DAY(DATE('Billable summary'!$C$4,5,0)),DATE('Billable summary'!$C$4,4,30),"")</f>
        <v>46507</v>
      </c>
      <c r="AG5" s="48" t="str">
        <f>IF(31&lt;=DAY(DATE('Billable summary'!$C$4,5,0)),DATE('Billable summary'!$C$4,4,31),"")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46478</v>
      </c>
      <c r="D6" s="142" t="n">
        <f>IF(D$5="","",D$5)</f>
        <v>46479</v>
      </c>
      <c r="E6" s="142" t="n">
        <f>IF(E$5="","",E$5)</f>
        <v>46480</v>
      </c>
      <c r="F6" s="142" t="n">
        <f>IF(F$5="","",F$5)</f>
        <v>46481</v>
      </c>
      <c r="G6" s="142" t="n">
        <f>IF(G$5="","",G$5)</f>
        <v>46482</v>
      </c>
      <c r="H6" s="142" t="n">
        <f>IF(H$5="","",H$5)</f>
        <v>46483</v>
      </c>
      <c r="I6" s="142" t="n">
        <f>IF(I$5="","",I$5)</f>
        <v>46484</v>
      </c>
      <c r="J6" s="142" t="n">
        <f>IF(J$5="","",J$5)</f>
        <v>46485</v>
      </c>
      <c r="K6" s="142" t="n">
        <f>IF(K$5="","",K$5)</f>
        <v>46486</v>
      </c>
      <c r="L6" s="142" t="n">
        <f>IF(L$5="","",L$5)</f>
        <v>46487</v>
      </c>
      <c r="M6" s="142" t="n">
        <f>IF(M$5="","",M$5)</f>
        <v>46488</v>
      </c>
      <c r="N6" s="142" t="n">
        <f>IF(N$5="","",N$5)</f>
        <v>46489</v>
      </c>
      <c r="O6" s="142" t="n">
        <f>IF(O$5="","",O$5)</f>
        <v>46490</v>
      </c>
      <c r="P6" s="142" t="n">
        <f>IF(P$5="","",P$5)</f>
        <v>46491</v>
      </c>
      <c r="Q6" s="142" t="n">
        <f>IF(Q$5="","",Q$5)</f>
        <v>46492</v>
      </c>
      <c r="R6" s="142" t="n">
        <f>IF(R$5="","",R$5)</f>
        <v>46493</v>
      </c>
      <c r="S6" s="142" t="n">
        <f>IF(S$5="","",S$5)</f>
        <v>46494</v>
      </c>
      <c r="T6" s="142" t="n">
        <f>IF(T$5="","",T$5)</f>
        <v>46495</v>
      </c>
      <c r="U6" s="142" t="n">
        <f>IF(U$5="","",U$5)</f>
        <v>46496</v>
      </c>
      <c r="V6" s="142" t="n">
        <f>IF(V$5="","",V$5)</f>
        <v>46497</v>
      </c>
      <c r="W6" s="142" t="n">
        <f>IF(W$5="","",W$5)</f>
        <v>46498</v>
      </c>
      <c r="X6" s="142" t="n">
        <f>IF(X$5="","",X$5)</f>
        <v>46499</v>
      </c>
      <c r="Y6" s="142" t="n">
        <f>IF(Y$5="","",Y$5)</f>
        <v>46500</v>
      </c>
      <c r="Z6" s="142" t="n">
        <f>IF(Z$5="","",Z$5)</f>
        <v>46501</v>
      </c>
      <c r="AA6" s="142" t="n">
        <f>IF(AA$5="","",AA$5)</f>
        <v>46502</v>
      </c>
      <c r="AB6" s="142" t="n">
        <f>IF(AB$5="","",AB$5)</f>
        <v>46503</v>
      </c>
      <c r="AC6" s="142" t="n">
        <f>IF(AC$5="","",AC$5)</f>
        <v>46504</v>
      </c>
      <c r="AD6" s="142" t="n">
        <f>IF(AD$5="","",AD$5)</f>
        <v>46505</v>
      </c>
      <c r="AE6" s="142" t="n">
        <f>IF(AE$5="","",AE$5)</f>
        <v>46506</v>
      </c>
      <c r="AF6" s="142" t="n">
        <f>IF(AF$5="","",AF$5)</f>
        <v>46507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46478</v>
      </c>
      <c r="D19" s="142" t="n">
        <f>IF(D$5="","",D$5)</f>
        <v>46479</v>
      </c>
      <c r="E19" s="142" t="n">
        <f>IF(E$5="","",E$5)</f>
        <v>46480</v>
      </c>
      <c r="F19" s="142" t="n">
        <f>IF(F$5="","",F$5)</f>
        <v>46481</v>
      </c>
      <c r="G19" s="142" t="n">
        <f>IF(G$5="","",G$5)</f>
        <v>46482</v>
      </c>
      <c r="H19" s="142" t="n">
        <f>IF(H$5="","",H$5)</f>
        <v>46483</v>
      </c>
      <c r="I19" s="142" t="n">
        <f>IF(I$5="","",I$5)</f>
        <v>46484</v>
      </c>
      <c r="J19" s="142" t="n">
        <f>IF(J$5="","",J$5)</f>
        <v>46485</v>
      </c>
      <c r="K19" s="142" t="n">
        <f>IF(K$5="","",K$5)</f>
        <v>46486</v>
      </c>
      <c r="L19" s="142" t="n">
        <f>IF(L$5="","",L$5)</f>
        <v>46487</v>
      </c>
      <c r="M19" s="142" t="n">
        <f>IF(M$5="","",M$5)</f>
        <v>46488</v>
      </c>
      <c r="N19" s="142" t="n">
        <f>IF(N$5="","",N$5)</f>
        <v>46489</v>
      </c>
      <c r="O19" s="142" t="n">
        <f>IF(O$5="","",O$5)</f>
        <v>46490</v>
      </c>
      <c r="P19" s="142" t="n">
        <f>IF(P$5="","",P$5)</f>
        <v>46491</v>
      </c>
      <c r="Q19" s="142" t="n">
        <f>IF(Q$5="","",Q$5)</f>
        <v>46492</v>
      </c>
      <c r="R19" s="142" t="n">
        <f>IF(R$5="","",R$5)</f>
        <v>46493</v>
      </c>
      <c r="S19" s="142" t="n">
        <f>IF(S$5="","",S$5)</f>
        <v>46494</v>
      </c>
      <c r="T19" s="142" t="n">
        <f>IF(T$5="","",T$5)</f>
        <v>46495</v>
      </c>
      <c r="U19" s="142" t="n">
        <f>IF(U$5="","",U$5)</f>
        <v>46496</v>
      </c>
      <c r="V19" s="142" t="n">
        <f>IF(V$5="","",V$5)</f>
        <v>46497</v>
      </c>
      <c r="W19" s="142" t="n">
        <f>IF(W$5="","",W$5)</f>
        <v>46498</v>
      </c>
      <c r="X19" s="142" t="n">
        <f>IF(X$5="","",X$5)</f>
        <v>46499</v>
      </c>
      <c r="Y19" s="142" t="n">
        <f>IF(Y$5="","",Y$5)</f>
        <v>46500</v>
      </c>
      <c r="Z19" s="142" t="n">
        <f>IF(Z$5="","",Z$5)</f>
        <v>46501</v>
      </c>
      <c r="AA19" s="142" t="n">
        <f>IF(AA$5="","",AA$5)</f>
        <v>46502</v>
      </c>
      <c r="AB19" s="142" t="n">
        <f>IF(AB$5="","",AB$5)</f>
        <v>46503</v>
      </c>
      <c r="AC19" s="142" t="n">
        <f>IF(AC$5="","",AC$5)</f>
        <v>46504</v>
      </c>
      <c r="AD19" s="142" t="n">
        <f>IF(AD$5="","",AD$5)</f>
        <v>46505</v>
      </c>
      <c r="AE19" s="142" t="n">
        <f>IF(AE$5="","",AE$5)</f>
        <v>46506</v>
      </c>
      <c r="AF19" s="142" t="n">
        <f>IF(AF$5="","",AF$5)</f>
        <v>46507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46478</v>
      </c>
      <c r="D30" s="48" t="n">
        <f>IF(D$5="","",D$5)</f>
        <v>46479</v>
      </c>
      <c r="E30" s="48" t="n">
        <f>IF(E$5="","",E$5)</f>
        <v>46480</v>
      </c>
      <c r="F30" s="48" t="n">
        <f>IF(F$5="","",F$5)</f>
        <v>46481</v>
      </c>
      <c r="G30" s="48" t="n">
        <f>IF(G$5="","",G$5)</f>
        <v>46482</v>
      </c>
      <c r="H30" s="48" t="n">
        <f>IF(H$5="","",H$5)</f>
        <v>46483</v>
      </c>
      <c r="I30" s="48" t="n">
        <f>IF(I$5="","",I$5)</f>
        <v>46484</v>
      </c>
      <c r="J30" s="48" t="n">
        <f>IF(J$5="","",J$5)</f>
        <v>46485</v>
      </c>
      <c r="K30" s="48" t="n">
        <f>IF(K$5="","",K$5)</f>
        <v>46486</v>
      </c>
      <c r="L30" s="48" t="n">
        <f>IF(L$5="","",L$5)</f>
        <v>46487</v>
      </c>
      <c r="M30" s="48" t="n">
        <f>IF(M$5="","",M$5)</f>
        <v>46488</v>
      </c>
      <c r="N30" s="48" t="n">
        <f>IF(N$5="","",N$5)</f>
        <v>46489</v>
      </c>
      <c r="O30" s="48" t="n">
        <f>IF(O$5="","",O$5)</f>
        <v>46490</v>
      </c>
      <c r="P30" s="48" t="n">
        <f>IF(P$5="","",P$5)</f>
        <v>46491</v>
      </c>
      <c r="Q30" s="48" t="n">
        <f>IF(Q$5="","",Q$5)</f>
        <v>46492</v>
      </c>
      <c r="R30" s="48" t="n">
        <f>IF(R$5="","",R$5)</f>
        <v>46493</v>
      </c>
      <c r="S30" s="48" t="n">
        <f>IF(S$5="","",S$5)</f>
        <v>46494</v>
      </c>
      <c r="T30" s="48" t="n">
        <f>IF(T$5="","",T$5)</f>
        <v>46495</v>
      </c>
      <c r="U30" s="48" t="n">
        <f>IF(U$5="","",U$5)</f>
        <v>46496</v>
      </c>
      <c r="V30" s="48" t="n">
        <f>IF(V$5="","",V$5)</f>
        <v>46497</v>
      </c>
      <c r="W30" s="48" t="n">
        <f>IF(W$5="","",W$5)</f>
        <v>46498</v>
      </c>
      <c r="X30" s="48" t="n">
        <f>IF(X$5="","",X$5)</f>
        <v>46499</v>
      </c>
      <c r="Y30" s="48" t="n">
        <f>IF(Y$5="","",Y$5)</f>
        <v>46500</v>
      </c>
      <c r="Z30" s="48" t="n">
        <f>IF(Z$5="","",Z$5)</f>
        <v>46501</v>
      </c>
      <c r="AA30" s="48" t="n">
        <f>IF(AA$5="","",AA$5)</f>
        <v>46502</v>
      </c>
      <c r="AB30" s="48" t="n">
        <f>IF(AB$5="","",AB$5)</f>
        <v>46503</v>
      </c>
      <c r="AC30" s="48" t="n">
        <f>IF(AC$5="","",AC$5)</f>
        <v>46504</v>
      </c>
      <c r="AD30" s="48" t="n">
        <f>IF(AD$5="","",AD$5)</f>
        <v>46505</v>
      </c>
      <c r="AE30" s="48" t="n">
        <f>IF(AE$5="","",AE$5)</f>
        <v>46506</v>
      </c>
      <c r="AF30" s="48" t="n">
        <f>IF(AF$5="","",AF$5)</f>
        <v>46507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46478</v>
      </c>
      <c r="D31" s="142" t="n">
        <f>IF(D$5="","",D$5)</f>
        <v>46479</v>
      </c>
      <c r="E31" s="142" t="n">
        <f>IF(E$5="","",E$5)</f>
        <v>46480</v>
      </c>
      <c r="F31" s="142" t="n">
        <f>IF(F$5="","",F$5)</f>
        <v>46481</v>
      </c>
      <c r="G31" s="142" t="n">
        <f>IF(G$5="","",G$5)</f>
        <v>46482</v>
      </c>
      <c r="H31" s="142" t="n">
        <f>IF(H$5="","",H$5)</f>
        <v>46483</v>
      </c>
      <c r="I31" s="142" t="n">
        <f>IF(I$5="","",I$5)</f>
        <v>46484</v>
      </c>
      <c r="J31" s="142" t="n">
        <f>IF(J$5="","",J$5)</f>
        <v>46485</v>
      </c>
      <c r="K31" s="142" t="n">
        <f>IF(K$5="","",K$5)</f>
        <v>46486</v>
      </c>
      <c r="L31" s="142" t="n">
        <f>IF(L$5="","",L$5)</f>
        <v>46487</v>
      </c>
      <c r="M31" s="142" t="n">
        <f>IF(M$5="","",M$5)</f>
        <v>46488</v>
      </c>
      <c r="N31" s="142" t="n">
        <f>IF(N$5="","",N$5)</f>
        <v>46489</v>
      </c>
      <c r="O31" s="142" t="n">
        <f>IF(O$5="","",O$5)</f>
        <v>46490</v>
      </c>
      <c r="P31" s="142" t="n">
        <f>IF(P$5="","",P$5)</f>
        <v>46491</v>
      </c>
      <c r="Q31" s="142" t="n">
        <f>IF(Q$5="","",Q$5)</f>
        <v>46492</v>
      </c>
      <c r="R31" s="142" t="n">
        <f>IF(R$5="","",R$5)</f>
        <v>46493</v>
      </c>
      <c r="S31" s="142" t="n">
        <f>IF(S$5="","",S$5)</f>
        <v>46494</v>
      </c>
      <c r="T31" s="142" t="n">
        <f>IF(T$5="","",T$5)</f>
        <v>46495</v>
      </c>
      <c r="U31" s="142" t="n">
        <f>IF(U$5="","",U$5)</f>
        <v>46496</v>
      </c>
      <c r="V31" s="142" t="n">
        <f>IF(V$5="","",V$5)</f>
        <v>46497</v>
      </c>
      <c r="W31" s="142" t="n">
        <f>IF(W$5="","",W$5)</f>
        <v>46498</v>
      </c>
      <c r="X31" s="142" t="n">
        <f>IF(X$5="","",X$5)</f>
        <v>46499</v>
      </c>
      <c r="Y31" s="142" t="n">
        <f>IF(Y$5="","",Y$5)</f>
        <v>46500</v>
      </c>
      <c r="Z31" s="142" t="n">
        <f>IF(Z$5="","",Z$5)</f>
        <v>46501</v>
      </c>
      <c r="AA31" s="142" t="n">
        <f>IF(AA$5="","",AA$5)</f>
        <v>46502</v>
      </c>
      <c r="AB31" s="142" t="n">
        <f>IF(AB$5="","",AB$5)</f>
        <v>46503</v>
      </c>
      <c r="AC31" s="142" t="n">
        <f>IF(AC$5="","",AC$5)</f>
        <v>46504</v>
      </c>
      <c r="AD31" s="142" t="n">
        <f>IF(AD$5="","",AD$5)</f>
        <v>46505</v>
      </c>
      <c r="AE31" s="142" t="n">
        <f>IF(AE$5="","",AE$5)</f>
        <v>46506</v>
      </c>
      <c r="AF31" s="142" t="n">
        <f>IF(AF$5="","",AF$5)</f>
        <v>46507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summary'!$C$4,4,1),DATE('Billable summary'!$C$4,5,0))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88" priority="1">
      <formula>OR(C$5="",WEEKDAY(C$5,2)&gt;5)</formula>
    </cfRule>
    <cfRule type="expression" dxfId="89" priority="2">
      <formula>AND(C$5="",NOT(ISBLANK(C7)))</formula>
    </cfRule>
  </conditionalFormatting>
  <conditionalFormatting sqref="C20:AG25">
    <cfRule type="expression" dxfId="90" priority="3">
      <formula>OR(C$5="",WEEKDAY(C$5,2)&gt;5)</formula>
    </cfRule>
    <cfRule type="expression" dxfId="91" priority="4">
      <formula>AND(C$5="",NOT(ISBLANK(C20)))</formula>
    </cfRule>
  </conditionalFormatting>
  <conditionalFormatting sqref="C32:AG35">
    <cfRule type="expression" dxfId="92" priority="5">
      <formula>OR(C$5="",WEEKDAY(C$5,2)&gt;5)</formula>
    </cfRule>
    <cfRule type="expression" dxfId="93" priority="6">
      <formula>AND(C$5="",NOT(ISBLANK(C32)))</formula>
    </cfRule>
  </conditionalFormatting>
  <conditionalFormatting sqref="I43:K43">
    <cfRule type="expression" dxfId="94" priority="7">
      <formula>AND(ISNUMBER($I$43),$I$43&gt;=$I$44)</formula>
    </cfRule>
    <cfRule type="expression" dxfId="95" priority="8">
      <formula>AND(ISNUMBER($I$43),$I$43&lt;$I$44)</formula>
    </cfRule>
  </conditionalFormatting>
  <conditionalFormatting sqref="B51:AH51">
    <cfRule type="containsText" dxfId="96" priority="9" operator="containsText" text="Check"/>
    <cfRule type="containsText" dxfId="97" priority="10" operator="containsText" text="Invalid"/>
    <cfRule type="containsText" dxfId="98" priority="11" operator="containsText" text="Negative"/>
    <cfRule type="containsText" dxfId="99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summary'!$C$4,5,1),"mmmm yyyy")</f>
        <v>May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summary'!$C$4,6,0)),DATE('Billable summary'!$C$4,5,1),"")</f>
        <v>46508</v>
      </c>
      <c r="D5" s="48" t="n">
        <f>IF(2&lt;=DAY(DATE('Billable summary'!$C$4,6,0)),DATE('Billable summary'!$C$4,5,2),"")</f>
        <v>46509</v>
      </c>
      <c r="E5" s="48" t="n">
        <f>IF(3&lt;=DAY(DATE('Billable summary'!$C$4,6,0)),DATE('Billable summary'!$C$4,5,3),"")</f>
        <v>46510</v>
      </c>
      <c r="F5" s="48" t="n">
        <f>IF(4&lt;=DAY(DATE('Billable summary'!$C$4,6,0)),DATE('Billable summary'!$C$4,5,4),"")</f>
        <v>46511</v>
      </c>
      <c r="G5" s="48" t="n">
        <f>IF(5&lt;=DAY(DATE('Billable summary'!$C$4,6,0)),DATE('Billable summary'!$C$4,5,5),"")</f>
        <v>46512</v>
      </c>
      <c r="H5" s="48" t="n">
        <f>IF(6&lt;=DAY(DATE('Billable summary'!$C$4,6,0)),DATE('Billable summary'!$C$4,5,6),"")</f>
        <v>46513</v>
      </c>
      <c r="I5" s="48" t="n">
        <f>IF(7&lt;=DAY(DATE('Billable summary'!$C$4,6,0)),DATE('Billable summary'!$C$4,5,7),"")</f>
        <v>46514</v>
      </c>
      <c r="J5" s="48" t="n">
        <f>IF(8&lt;=DAY(DATE('Billable summary'!$C$4,6,0)),DATE('Billable summary'!$C$4,5,8),"")</f>
        <v>46515</v>
      </c>
      <c r="K5" s="48" t="n">
        <f>IF(9&lt;=DAY(DATE('Billable summary'!$C$4,6,0)),DATE('Billable summary'!$C$4,5,9),"")</f>
        <v>46516</v>
      </c>
      <c r="L5" s="48" t="n">
        <f>IF(10&lt;=DAY(DATE('Billable summary'!$C$4,6,0)),DATE('Billable summary'!$C$4,5,10),"")</f>
        <v>46517</v>
      </c>
      <c r="M5" s="48" t="n">
        <f>IF(11&lt;=DAY(DATE('Billable summary'!$C$4,6,0)),DATE('Billable summary'!$C$4,5,11),"")</f>
        <v>46518</v>
      </c>
      <c r="N5" s="48" t="n">
        <f>IF(12&lt;=DAY(DATE('Billable summary'!$C$4,6,0)),DATE('Billable summary'!$C$4,5,12),"")</f>
        <v>46519</v>
      </c>
      <c r="O5" s="48" t="n">
        <f>IF(13&lt;=DAY(DATE('Billable summary'!$C$4,6,0)),DATE('Billable summary'!$C$4,5,13),"")</f>
        <v>46520</v>
      </c>
      <c r="P5" s="48" t="n">
        <f>IF(14&lt;=DAY(DATE('Billable summary'!$C$4,6,0)),DATE('Billable summary'!$C$4,5,14),"")</f>
        <v>46521</v>
      </c>
      <c r="Q5" s="48" t="n">
        <f>IF(15&lt;=DAY(DATE('Billable summary'!$C$4,6,0)),DATE('Billable summary'!$C$4,5,15),"")</f>
        <v>46522</v>
      </c>
      <c r="R5" s="48" t="n">
        <f>IF(16&lt;=DAY(DATE('Billable summary'!$C$4,6,0)),DATE('Billable summary'!$C$4,5,16),"")</f>
        <v>46523</v>
      </c>
      <c r="S5" s="48" t="n">
        <f>IF(17&lt;=DAY(DATE('Billable summary'!$C$4,6,0)),DATE('Billable summary'!$C$4,5,17),"")</f>
        <v>46524</v>
      </c>
      <c r="T5" s="48" t="n">
        <f>IF(18&lt;=DAY(DATE('Billable summary'!$C$4,6,0)),DATE('Billable summary'!$C$4,5,18),"")</f>
        <v>46525</v>
      </c>
      <c r="U5" s="48" t="n">
        <f>IF(19&lt;=DAY(DATE('Billable summary'!$C$4,6,0)),DATE('Billable summary'!$C$4,5,19),"")</f>
        <v>46526</v>
      </c>
      <c r="V5" s="48" t="n">
        <f>IF(20&lt;=DAY(DATE('Billable summary'!$C$4,6,0)),DATE('Billable summary'!$C$4,5,20),"")</f>
        <v>46527</v>
      </c>
      <c r="W5" s="48" t="n">
        <f>IF(21&lt;=DAY(DATE('Billable summary'!$C$4,6,0)),DATE('Billable summary'!$C$4,5,21),"")</f>
        <v>46528</v>
      </c>
      <c r="X5" s="48" t="n">
        <f>IF(22&lt;=DAY(DATE('Billable summary'!$C$4,6,0)),DATE('Billable summary'!$C$4,5,22),"")</f>
        <v>46529</v>
      </c>
      <c r="Y5" s="48" t="n">
        <f>IF(23&lt;=DAY(DATE('Billable summary'!$C$4,6,0)),DATE('Billable summary'!$C$4,5,23),"")</f>
        <v>46530</v>
      </c>
      <c r="Z5" s="48" t="n">
        <f>IF(24&lt;=DAY(DATE('Billable summary'!$C$4,6,0)),DATE('Billable summary'!$C$4,5,24),"")</f>
        <v>46531</v>
      </c>
      <c r="AA5" s="48" t="n">
        <f>IF(25&lt;=DAY(DATE('Billable summary'!$C$4,6,0)),DATE('Billable summary'!$C$4,5,25),"")</f>
        <v>46532</v>
      </c>
      <c r="AB5" s="48" t="n">
        <f>IF(26&lt;=DAY(DATE('Billable summary'!$C$4,6,0)),DATE('Billable summary'!$C$4,5,26),"")</f>
        <v>46533</v>
      </c>
      <c r="AC5" s="48" t="n">
        <f>IF(27&lt;=DAY(DATE('Billable summary'!$C$4,6,0)),DATE('Billable summary'!$C$4,5,27),"")</f>
        <v>46534</v>
      </c>
      <c r="AD5" s="48" t="n">
        <f>IF(28&lt;=DAY(DATE('Billable summary'!$C$4,6,0)),DATE('Billable summary'!$C$4,5,28),"")</f>
        <v>46535</v>
      </c>
      <c r="AE5" s="48" t="n">
        <f>IF(29&lt;=DAY(DATE('Billable summary'!$C$4,6,0)),DATE('Billable summary'!$C$4,5,29),"")</f>
        <v>46536</v>
      </c>
      <c r="AF5" s="48" t="n">
        <f>IF(30&lt;=DAY(DATE('Billable summary'!$C$4,6,0)),DATE('Billable summary'!$C$4,5,30),"")</f>
        <v>46537</v>
      </c>
      <c r="AG5" s="48" t="n">
        <f>IF(31&lt;=DAY(DATE('Billable summary'!$C$4,6,0)),DATE('Billable summary'!$C$4,5,31),"")</f>
        <v>46538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46508</v>
      </c>
      <c r="D6" s="142" t="n">
        <f>IF(D$5="","",D$5)</f>
        <v>46509</v>
      </c>
      <c r="E6" s="142" t="n">
        <f>IF(E$5="","",E$5)</f>
        <v>46510</v>
      </c>
      <c r="F6" s="142" t="n">
        <f>IF(F$5="","",F$5)</f>
        <v>46511</v>
      </c>
      <c r="G6" s="142" t="n">
        <f>IF(G$5="","",G$5)</f>
        <v>46512</v>
      </c>
      <c r="H6" s="142" t="n">
        <f>IF(H$5="","",H$5)</f>
        <v>46513</v>
      </c>
      <c r="I6" s="142" t="n">
        <f>IF(I$5="","",I$5)</f>
        <v>46514</v>
      </c>
      <c r="J6" s="142" t="n">
        <f>IF(J$5="","",J$5)</f>
        <v>46515</v>
      </c>
      <c r="K6" s="142" t="n">
        <f>IF(K$5="","",K$5)</f>
        <v>46516</v>
      </c>
      <c r="L6" s="142" t="n">
        <f>IF(L$5="","",L$5)</f>
        <v>46517</v>
      </c>
      <c r="M6" s="142" t="n">
        <f>IF(M$5="","",M$5)</f>
        <v>46518</v>
      </c>
      <c r="N6" s="142" t="n">
        <f>IF(N$5="","",N$5)</f>
        <v>46519</v>
      </c>
      <c r="O6" s="142" t="n">
        <f>IF(O$5="","",O$5)</f>
        <v>46520</v>
      </c>
      <c r="P6" s="142" t="n">
        <f>IF(P$5="","",P$5)</f>
        <v>46521</v>
      </c>
      <c r="Q6" s="142" t="n">
        <f>IF(Q$5="","",Q$5)</f>
        <v>46522</v>
      </c>
      <c r="R6" s="142" t="n">
        <f>IF(R$5="","",R$5)</f>
        <v>46523</v>
      </c>
      <c r="S6" s="142" t="n">
        <f>IF(S$5="","",S$5)</f>
        <v>46524</v>
      </c>
      <c r="T6" s="142" t="n">
        <f>IF(T$5="","",T$5)</f>
        <v>46525</v>
      </c>
      <c r="U6" s="142" t="n">
        <f>IF(U$5="","",U$5)</f>
        <v>46526</v>
      </c>
      <c r="V6" s="142" t="n">
        <f>IF(V$5="","",V$5)</f>
        <v>46527</v>
      </c>
      <c r="W6" s="142" t="n">
        <f>IF(W$5="","",W$5)</f>
        <v>46528</v>
      </c>
      <c r="X6" s="142" t="n">
        <f>IF(X$5="","",X$5)</f>
        <v>46529</v>
      </c>
      <c r="Y6" s="142" t="n">
        <f>IF(Y$5="","",Y$5)</f>
        <v>46530</v>
      </c>
      <c r="Z6" s="142" t="n">
        <f>IF(Z$5="","",Z$5)</f>
        <v>46531</v>
      </c>
      <c r="AA6" s="142" t="n">
        <f>IF(AA$5="","",AA$5)</f>
        <v>46532</v>
      </c>
      <c r="AB6" s="142" t="n">
        <f>IF(AB$5="","",AB$5)</f>
        <v>46533</v>
      </c>
      <c r="AC6" s="142" t="n">
        <f>IF(AC$5="","",AC$5)</f>
        <v>46534</v>
      </c>
      <c r="AD6" s="142" t="n">
        <f>IF(AD$5="","",AD$5)</f>
        <v>46535</v>
      </c>
      <c r="AE6" s="142" t="n">
        <f>IF(AE$5="","",AE$5)</f>
        <v>46536</v>
      </c>
      <c r="AF6" s="142" t="n">
        <f>IF(AF$5="","",AF$5)</f>
        <v>46537</v>
      </c>
      <c r="AG6" s="142" t="n">
        <f>IF(AG$5="","",AG$5)</f>
        <v>46538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46508</v>
      </c>
      <c r="D19" s="142" t="n">
        <f>IF(D$5="","",D$5)</f>
        <v>46509</v>
      </c>
      <c r="E19" s="142" t="n">
        <f>IF(E$5="","",E$5)</f>
        <v>46510</v>
      </c>
      <c r="F19" s="142" t="n">
        <f>IF(F$5="","",F$5)</f>
        <v>46511</v>
      </c>
      <c r="G19" s="142" t="n">
        <f>IF(G$5="","",G$5)</f>
        <v>46512</v>
      </c>
      <c r="H19" s="142" t="n">
        <f>IF(H$5="","",H$5)</f>
        <v>46513</v>
      </c>
      <c r="I19" s="142" t="n">
        <f>IF(I$5="","",I$5)</f>
        <v>46514</v>
      </c>
      <c r="J19" s="142" t="n">
        <f>IF(J$5="","",J$5)</f>
        <v>46515</v>
      </c>
      <c r="K19" s="142" t="n">
        <f>IF(K$5="","",K$5)</f>
        <v>46516</v>
      </c>
      <c r="L19" s="142" t="n">
        <f>IF(L$5="","",L$5)</f>
        <v>46517</v>
      </c>
      <c r="M19" s="142" t="n">
        <f>IF(M$5="","",M$5)</f>
        <v>46518</v>
      </c>
      <c r="N19" s="142" t="n">
        <f>IF(N$5="","",N$5)</f>
        <v>46519</v>
      </c>
      <c r="O19" s="142" t="n">
        <f>IF(O$5="","",O$5)</f>
        <v>46520</v>
      </c>
      <c r="P19" s="142" t="n">
        <f>IF(P$5="","",P$5)</f>
        <v>46521</v>
      </c>
      <c r="Q19" s="142" t="n">
        <f>IF(Q$5="","",Q$5)</f>
        <v>46522</v>
      </c>
      <c r="R19" s="142" t="n">
        <f>IF(R$5="","",R$5)</f>
        <v>46523</v>
      </c>
      <c r="S19" s="142" t="n">
        <f>IF(S$5="","",S$5)</f>
        <v>46524</v>
      </c>
      <c r="T19" s="142" t="n">
        <f>IF(T$5="","",T$5)</f>
        <v>46525</v>
      </c>
      <c r="U19" s="142" t="n">
        <f>IF(U$5="","",U$5)</f>
        <v>46526</v>
      </c>
      <c r="V19" s="142" t="n">
        <f>IF(V$5="","",V$5)</f>
        <v>46527</v>
      </c>
      <c r="W19" s="142" t="n">
        <f>IF(W$5="","",W$5)</f>
        <v>46528</v>
      </c>
      <c r="X19" s="142" t="n">
        <f>IF(X$5="","",X$5)</f>
        <v>46529</v>
      </c>
      <c r="Y19" s="142" t="n">
        <f>IF(Y$5="","",Y$5)</f>
        <v>46530</v>
      </c>
      <c r="Z19" s="142" t="n">
        <f>IF(Z$5="","",Z$5)</f>
        <v>46531</v>
      </c>
      <c r="AA19" s="142" t="n">
        <f>IF(AA$5="","",AA$5)</f>
        <v>46532</v>
      </c>
      <c r="AB19" s="142" t="n">
        <f>IF(AB$5="","",AB$5)</f>
        <v>46533</v>
      </c>
      <c r="AC19" s="142" t="n">
        <f>IF(AC$5="","",AC$5)</f>
        <v>46534</v>
      </c>
      <c r="AD19" s="142" t="n">
        <f>IF(AD$5="","",AD$5)</f>
        <v>46535</v>
      </c>
      <c r="AE19" s="142" t="n">
        <f>IF(AE$5="","",AE$5)</f>
        <v>46536</v>
      </c>
      <c r="AF19" s="142" t="n">
        <f>IF(AF$5="","",AF$5)</f>
        <v>46537</v>
      </c>
      <c r="AG19" s="142" t="n">
        <f>IF(AG$5="","",AG$5)</f>
        <v>46538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46508</v>
      </c>
      <c r="D30" s="48" t="n">
        <f>IF(D$5="","",D$5)</f>
        <v>46509</v>
      </c>
      <c r="E30" s="48" t="n">
        <f>IF(E$5="","",E$5)</f>
        <v>46510</v>
      </c>
      <c r="F30" s="48" t="n">
        <f>IF(F$5="","",F$5)</f>
        <v>46511</v>
      </c>
      <c r="G30" s="48" t="n">
        <f>IF(G$5="","",G$5)</f>
        <v>46512</v>
      </c>
      <c r="H30" s="48" t="n">
        <f>IF(H$5="","",H$5)</f>
        <v>46513</v>
      </c>
      <c r="I30" s="48" t="n">
        <f>IF(I$5="","",I$5)</f>
        <v>46514</v>
      </c>
      <c r="J30" s="48" t="n">
        <f>IF(J$5="","",J$5)</f>
        <v>46515</v>
      </c>
      <c r="K30" s="48" t="n">
        <f>IF(K$5="","",K$5)</f>
        <v>46516</v>
      </c>
      <c r="L30" s="48" t="n">
        <f>IF(L$5="","",L$5)</f>
        <v>46517</v>
      </c>
      <c r="M30" s="48" t="n">
        <f>IF(M$5="","",M$5)</f>
        <v>46518</v>
      </c>
      <c r="N30" s="48" t="n">
        <f>IF(N$5="","",N$5)</f>
        <v>46519</v>
      </c>
      <c r="O30" s="48" t="n">
        <f>IF(O$5="","",O$5)</f>
        <v>46520</v>
      </c>
      <c r="P30" s="48" t="n">
        <f>IF(P$5="","",P$5)</f>
        <v>46521</v>
      </c>
      <c r="Q30" s="48" t="n">
        <f>IF(Q$5="","",Q$5)</f>
        <v>46522</v>
      </c>
      <c r="R30" s="48" t="n">
        <f>IF(R$5="","",R$5)</f>
        <v>46523</v>
      </c>
      <c r="S30" s="48" t="n">
        <f>IF(S$5="","",S$5)</f>
        <v>46524</v>
      </c>
      <c r="T30" s="48" t="n">
        <f>IF(T$5="","",T$5)</f>
        <v>46525</v>
      </c>
      <c r="U30" s="48" t="n">
        <f>IF(U$5="","",U$5)</f>
        <v>46526</v>
      </c>
      <c r="V30" s="48" t="n">
        <f>IF(V$5="","",V$5)</f>
        <v>46527</v>
      </c>
      <c r="W30" s="48" t="n">
        <f>IF(W$5="","",W$5)</f>
        <v>46528</v>
      </c>
      <c r="X30" s="48" t="n">
        <f>IF(X$5="","",X$5)</f>
        <v>46529</v>
      </c>
      <c r="Y30" s="48" t="n">
        <f>IF(Y$5="","",Y$5)</f>
        <v>46530</v>
      </c>
      <c r="Z30" s="48" t="n">
        <f>IF(Z$5="","",Z$5)</f>
        <v>46531</v>
      </c>
      <c r="AA30" s="48" t="n">
        <f>IF(AA$5="","",AA$5)</f>
        <v>46532</v>
      </c>
      <c r="AB30" s="48" t="n">
        <f>IF(AB$5="","",AB$5)</f>
        <v>46533</v>
      </c>
      <c r="AC30" s="48" t="n">
        <f>IF(AC$5="","",AC$5)</f>
        <v>46534</v>
      </c>
      <c r="AD30" s="48" t="n">
        <f>IF(AD$5="","",AD$5)</f>
        <v>46535</v>
      </c>
      <c r="AE30" s="48" t="n">
        <f>IF(AE$5="","",AE$5)</f>
        <v>46536</v>
      </c>
      <c r="AF30" s="48" t="n">
        <f>IF(AF$5="","",AF$5)</f>
        <v>46537</v>
      </c>
      <c r="AG30" s="48" t="n">
        <f>IF(AG$5="","",AG$5)</f>
        <v>46538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46508</v>
      </c>
      <c r="D31" s="142" t="n">
        <f>IF(D$5="","",D$5)</f>
        <v>46509</v>
      </c>
      <c r="E31" s="142" t="n">
        <f>IF(E$5="","",E$5)</f>
        <v>46510</v>
      </c>
      <c r="F31" s="142" t="n">
        <f>IF(F$5="","",F$5)</f>
        <v>46511</v>
      </c>
      <c r="G31" s="142" t="n">
        <f>IF(G$5="","",G$5)</f>
        <v>46512</v>
      </c>
      <c r="H31" s="142" t="n">
        <f>IF(H$5="","",H$5)</f>
        <v>46513</v>
      </c>
      <c r="I31" s="142" t="n">
        <f>IF(I$5="","",I$5)</f>
        <v>46514</v>
      </c>
      <c r="J31" s="142" t="n">
        <f>IF(J$5="","",J$5)</f>
        <v>46515</v>
      </c>
      <c r="K31" s="142" t="n">
        <f>IF(K$5="","",K$5)</f>
        <v>46516</v>
      </c>
      <c r="L31" s="142" t="n">
        <f>IF(L$5="","",L$5)</f>
        <v>46517</v>
      </c>
      <c r="M31" s="142" t="n">
        <f>IF(M$5="","",M$5)</f>
        <v>46518</v>
      </c>
      <c r="N31" s="142" t="n">
        <f>IF(N$5="","",N$5)</f>
        <v>46519</v>
      </c>
      <c r="O31" s="142" t="n">
        <f>IF(O$5="","",O$5)</f>
        <v>46520</v>
      </c>
      <c r="P31" s="142" t="n">
        <f>IF(P$5="","",P$5)</f>
        <v>46521</v>
      </c>
      <c r="Q31" s="142" t="n">
        <f>IF(Q$5="","",Q$5)</f>
        <v>46522</v>
      </c>
      <c r="R31" s="142" t="n">
        <f>IF(R$5="","",R$5)</f>
        <v>46523</v>
      </c>
      <c r="S31" s="142" t="n">
        <f>IF(S$5="","",S$5)</f>
        <v>46524</v>
      </c>
      <c r="T31" s="142" t="n">
        <f>IF(T$5="","",T$5)</f>
        <v>46525</v>
      </c>
      <c r="U31" s="142" t="n">
        <f>IF(U$5="","",U$5)</f>
        <v>46526</v>
      </c>
      <c r="V31" s="142" t="n">
        <f>IF(V$5="","",V$5)</f>
        <v>46527</v>
      </c>
      <c r="W31" s="142" t="n">
        <f>IF(W$5="","",W$5)</f>
        <v>46528</v>
      </c>
      <c r="X31" s="142" t="n">
        <f>IF(X$5="","",X$5)</f>
        <v>46529</v>
      </c>
      <c r="Y31" s="142" t="n">
        <f>IF(Y$5="","",Y$5)</f>
        <v>46530</v>
      </c>
      <c r="Z31" s="142" t="n">
        <f>IF(Z$5="","",Z$5)</f>
        <v>46531</v>
      </c>
      <c r="AA31" s="142" t="n">
        <f>IF(AA$5="","",AA$5)</f>
        <v>46532</v>
      </c>
      <c r="AB31" s="142" t="n">
        <f>IF(AB$5="","",AB$5)</f>
        <v>46533</v>
      </c>
      <c r="AC31" s="142" t="n">
        <f>IF(AC$5="","",AC$5)</f>
        <v>46534</v>
      </c>
      <c r="AD31" s="142" t="n">
        <f>IF(AD$5="","",AD$5)</f>
        <v>46535</v>
      </c>
      <c r="AE31" s="142" t="n">
        <f>IF(AE$5="","",AE$5)</f>
        <v>46536</v>
      </c>
      <c r="AF31" s="142" t="n">
        <f>IF(AF$5="","",AF$5)</f>
        <v>46537</v>
      </c>
      <c r="AG31" s="142" t="n">
        <f>IF(AG$5="","",AG$5)</f>
        <v>46538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summary'!$C$4,5,1),DATE('Billable summary'!$C$4,6,0))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00" priority="1">
      <formula>OR(C$5="",WEEKDAY(C$5,2)&gt;5)</formula>
    </cfRule>
    <cfRule type="expression" dxfId="101" priority="2">
      <formula>AND(C$5="",NOT(ISBLANK(C7)))</formula>
    </cfRule>
  </conditionalFormatting>
  <conditionalFormatting sqref="C20:AG25">
    <cfRule type="expression" dxfId="102" priority="3">
      <formula>OR(C$5="",WEEKDAY(C$5,2)&gt;5)</formula>
    </cfRule>
    <cfRule type="expression" dxfId="103" priority="4">
      <formula>AND(C$5="",NOT(ISBLANK(C20)))</formula>
    </cfRule>
  </conditionalFormatting>
  <conditionalFormatting sqref="C32:AG35">
    <cfRule type="expression" dxfId="104" priority="5">
      <formula>OR(C$5="",WEEKDAY(C$5,2)&gt;5)</formula>
    </cfRule>
    <cfRule type="expression" dxfId="105" priority="6">
      <formula>AND(C$5="",NOT(ISBLANK(C32)))</formula>
    </cfRule>
  </conditionalFormatting>
  <conditionalFormatting sqref="I43:K43">
    <cfRule type="expression" dxfId="106" priority="7">
      <formula>AND(ISNUMBER($I$43),$I$43&gt;=$I$44)</formula>
    </cfRule>
    <cfRule type="expression" dxfId="107" priority="8">
      <formula>AND(ISNUMBER($I$43),$I$43&lt;$I$44)</formula>
    </cfRule>
  </conditionalFormatting>
  <conditionalFormatting sqref="B51:AH51">
    <cfRule type="containsText" dxfId="108" priority="9" operator="containsText" text="Check"/>
    <cfRule type="containsText" dxfId="109" priority="10" operator="containsText" text="Invalid"/>
    <cfRule type="containsText" dxfId="110" priority="11" operator="containsText" text="Negative"/>
    <cfRule type="containsText" dxfId="111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summary'!$C$4,6,1),"mmmm yyyy")</f>
        <v>June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summary'!$C$4,7,0)),DATE('Billable summary'!$C$4,6,1),"")</f>
        <v>46539</v>
      </c>
      <c r="D5" s="48" t="n">
        <f>IF(2&lt;=DAY(DATE('Billable summary'!$C$4,7,0)),DATE('Billable summary'!$C$4,6,2),"")</f>
        <v>46540</v>
      </c>
      <c r="E5" s="48" t="n">
        <f>IF(3&lt;=DAY(DATE('Billable summary'!$C$4,7,0)),DATE('Billable summary'!$C$4,6,3),"")</f>
        <v>46541</v>
      </c>
      <c r="F5" s="48" t="n">
        <f>IF(4&lt;=DAY(DATE('Billable summary'!$C$4,7,0)),DATE('Billable summary'!$C$4,6,4),"")</f>
        <v>46542</v>
      </c>
      <c r="G5" s="48" t="n">
        <f>IF(5&lt;=DAY(DATE('Billable summary'!$C$4,7,0)),DATE('Billable summary'!$C$4,6,5),"")</f>
        <v>46543</v>
      </c>
      <c r="H5" s="48" t="n">
        <f>IF(6&lt;=DAY(DATE('Billable summary'!$C$4,7,0)),DATE('Billable summary'!$C$4,6,6),"")</f>
        <v>46544</v>
      </c>
      <c r="I5" s="48" t="n">
        <f>IF(7&lt;=DAY(DATE('Billable summary'!$C$4,7,0)),DATE('Billable summary'!$C$4,6,7),"")</f>
        <v>46545</v>
      </c>
      <c r="J5" s="48" t="n">
        <f>IF(8&lt;=DAY(DATE('Billable summary'!$C$4,7,0)),DATE('Billable summary'!$C$4,6,8),"")</f>
        <v>46546</v>
      </c>
      <c r="K5" s="48" t="n">
        <f>IF(9&lt;=DAY(DATE('Billable summary'!$C$4,7,0)),DATE('Billable summary'!$C$4,6,9),"")</f>
        <v>46547</v>
      </c>
      <c r="L5" s="48" t="n">
        <f>IF(10&lt;=DAY(DATE('Billable summary'!$C$4,7,0)),DATE('Billable summary'!$C$4,6,10),"")</f>
        <v>46548</v>
      </c>
      <c r="M5" s="48" t="n">
        <f>IF(11&lt;=DAY(DATE('Billable summary'!$C$4,7,0)),DATE('Billable summary'!$C$4,6,11),"")</f>
        <v>46549</v>
      </c>
      <c r="N5" s="48" t="n">
        <f>IF(12&lt;=DAY(DATE('Billable summary'!$C$4,7,0)),DATE('Billable summary'!$C$4,6,12),"")</f>
        <v>46550</v>
      </c>
      <c r="O5" s="48" t="n">
        <f>IF(13&lt;=DAY(DATE('Billable summary'!$C$4,7,0)),DATE('Billable summary'!$C$4,6,13),"")</f>
        <v>46551</v>
      </c>
      <c r="P5" s="48" t="n">
        <f>IF(14&lt;=DAY(DATE('Billable summary'!$C$4,7,0)),DATE('Billable summary'!$C$4,6,14),"")</f>
        <v>46552</v>
      </c>
      <c r="Q5" s="48" t="n">
        <f>IF(15&lt;=DAY(DATE('Billable summary'!$C$4,7,0)),DATE('Billable summary'!$C$4,6,15),"")</f>
        <v>46553</v>
      </c>
      <c r="R5" s="48" t="n">
        <f>IF(16&lt;=DAY(DATE('Billable summary'!$C$4,7,0)),DATE('Billable summary'!$C$4,6,16),"")</f>
        <v>46554</v>
      </c>
      <c r="S5" s="48" t="n">
        <f>IF(17&lt;=DAY(DATE('Billable summary'!$C$4,7,0)),DATE('Billable summary'!$C$4,6,17),"")</f>
        <v>46555</v>
      </c>
      <c r="T5" s="48" t="n">
        <f>IF(18&lt;=DAY(DATE('Billable summary'!$C$4,7,0)),DATE('Billable summary'!$C$4,6,18),"")</f>
        <v>46556</v>
      </c>
      <c r="U5" s="48" t="n">
        <f>IF(19&lt;=DAY(DATE('Billable summary'!$C$4,7,0)),DATE('Billable summary'!$C$4,6,19),"")</f>
        <v>46557</v>
      </c>
      <c r="V5" s="48" t="n">
        <f>IF(20&lt;=DAY(DATE('Billable summary'!$C$4,7,0)),DATE('Billable summary'!$C$4,6,20),"")</f>
        <v>46558</v>
      </c>
      <c r="W5" s="48" t="n">
        <f>IF(21&lt;=DAY(DATE('Billable summary'!$C$4,7,0)),DATE('Billable summary'!$C$4,6,21),"")</f>
        <v>46559</v>
      </c>
      <c r="X5" s="48" t="n">
        <f>IF(22&lt;=DAY(DATE('Billable summary'!$C$4,7,0)),DATE('Billable summary'!$C$4,6,22),"")</f>
        <v>46560</v>
      </c>
      <c r="Y5" s="48" t="n">
        <f>IF(23&lt;=DAY(DATE('Billable summary'!$C$4,7,0)),DATE('Billable summary'!$C$4,6,23),"")</f>
        <v>46561</v>
      </c>
      <c r="Z5" s="48" t="n">
        <f>IF(24&lt;=DAY(DATE('Billable summary'!$C$4,7,0)),DATE('Billable summary'!$C$4,6,24),"")</f>
        <v>46562</v>
      </c>
      <c r="AA5" s="48" t="n">
        <f>IF(25&lt;=DAY(DATE('Billable summary'!$C$4,7,0)),DATE('Billable summary'!$C$4,6,25),"")</f>
        <v>46563</v>
      </c>
      <c r="AB5" s="48" t="n">
        <f>IF(26&lt;=DAY(DATE('Billable summary'!$C$4,7,0)),DATE('Billable summary'!$C$4,6,26),"")</f>
        <v>46564</v>
      </c>
      <c r="AC5" s="48" t="n">
        <f>IF(27&lt;=DAY(DATE('Billable summary'!$C$4,7,0)),DATE('Billable summary'!$C$4,6,27),"")</f>
        <v>46565</v>
      </c>
      <c r="AD5" s="48" t="n">
        <f>IF(28&lt;=DAY(DATE('Billable summary'!$C$4,7,0)),DATE('Billable summary'!$C$4,6,28),"")</f>
        <v>46566</v>
      </c>
      <c r="AE5" s="48" t="n">
        <f>IF(29&lt;=DAY(DATE('Billable summary'!$C$4,7,0)),DATE('Billable summary'!$C$4,6,29),"")</f>
        <v>46567</v>
      </c>
      <c r="AF5" s="48" t="n">
        <f>IF(30&lt;=DAY(DATE('Billable summary'!$C$4,7,0)),DATE('Billable summary'!$C$4,6,30),"")</f>
        <v>46568</v>
      </c>
      <c r="AG5" s="48" t="str">
        <f>IF(31&lt;=DAY(DATE('Billable summary'!$C$4,7,0)),DATE('Billable summary'!$C$4,6,31),"")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46539</v>
      </c>
      <c r="D6" s="142" t="n">
        <f>IF(D$5="","",D$5)</f>
        <v>46540</v>
      </c>
      <c r="E6" s="142" t="n">
        <f>IF(E$5="","",E$5)</f>
        <v>46541</v>
      </c>
      <c r="F6" s="142" t="n">
        <f>IF(F$5="","",F$5)</f>
        <v>46542</v>
      </c>
      <c r="G6" s="142" t="n">
        <f>IF(G$5="","",G$5)</f>
        <v>46543</v>
      </c>
      <c r="H6" s="142" t="n">
        <f>IF(H$5="","",H$5)</f>
        <v>46544</v>
      </c>
      <c r="I6" s="142" t="n">
        <f>IF(I$5="","",I$5)</f>
        <v>46545</v>
      </c>
      <c r="J6" s="142" t="n">
        <f>IF(J$5="","",J$5)</f>
        <v>46546</v>
      </c>
      <c r="K6" s="142" t="n">
        <f>IF(K$5="","",K$5)</f>
        <v>46547</v>
      </c>
      <c r="L6" s="142" t="n">
        <f>IF(L$5="","",L$5)</f>
        <v>46548</v>
      </c>
      <c r="M6" s="142" t="n">
        <f>IF(M$5="","",M$5)</f>
        <v>46549</v>
      </c>
      <c r="N6" s="142" t="n">
        <f>IF(N$5="","",N$5)</f>
        <v>46550</v>
      </c>
      <c r="O6" s="142" t="n">
        <f>IF(O$5="","",O$5)</f>
        <v>46551</v>
      </c>
      <c r="P6" s="142" t="n">
        <f>IF(P$5="","",P$5)</f>
        <v>46552</v>
      </c>
      <c r="Q6" s="142" t="n">
        <f>IF(Q$5="","",Q$5)</f>
        <v>46553</v>
      </c>
      <c r="R6" s="142" t="n">
        <f>IF(R$5="","",R$5)</f>
        <v>46554</v>
      </c>
      <c r="S6" s="142" t="n">
        <f>IF(S$5="","",S$5)</f>
        <v>46555</v>
      </c>
      <c r="T6" s="142" t="n">
        <f>IF(T$5="","",T$5)</f>
        <v>46556</v>
      </c>
      <c r="U6" s="142" t="n">
        <f>IF(U$5="","",U$5)</f>
        <v>46557</v>
      </c>
      <c r="V6" s="142" t="n">
        <f>IF(V$5="","",V$5)</f>
        <v>46558</v>
      </c>
      <c r="W6" s="142" t="n">
        <f>IF(W$5="","",W$5)</f>
        <v>46559</v>
      </c>
      <c r="X6" s="142" t="n">
        <f>IF(X$5="","",X$5)</f>
        <v>46560</v>
      </c>
      <c r="Y6" s="142" t="n">
        <f>IF(Y$5="","",Y$5)</f>
        <v>46561</v>
      </c>
      <c r="Z6" s="142" t="n">
        <f>IF(Z$5="","",Z$5)</f>
        <v>46562</v>
      </c>
      <c r="AA6" s="142" t="n">
        <f>IF(AA$5="","",AA$5)</f>
        <v>46563</v>
      </c>
      <c r="AB6" s="142" t="n">
        <f>IF(AB$5="","",AB$5)</f>
        <v>46564</v>
      </c>
      <c r="AC6" s="142" t="n">
        <f>IF(AC$5="","",AC$5)</f>
        <v>46565</v>
      </c>
      <c r="AD6" s="142" t="n">
        <f>IF(AD$5="","",AD$5)</f>
        <v>46566</v>
      </c>
      <c r="AE6" s="142" t="n">
        <f>IF(AE$5="","",AE$5)</f>
        <v>46567</v>
      </c>
      <c r="AF6" s="142" t="n">
        <f>IF(AF$5="","",AF$5)</f>
        <v>46568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46539</v>
      </c>
      <c r="D19" s="142" t="n">
        <f>IF(D$5="","",D$5)</f>
        <v>46540</v>
      </c>
      <c r="E19" s="142" t="n">
        <f>IF(E$5="","",E$5)</f>
        <v>46541</v>
      </c>
      <c r="F19" s="142" t="n">
        <f>IF(F$5="","",F$5)</f>
        <v>46542</v>
      </c>
      <c r="G19" s="142" t="n">
        <f>IF(G$5="","",G$5)</f>
        <v>46543</v>
      </c>
      <c r="H19" s="142" t="n">
        <f>IF(H$5="","",H$5)</f>
        <v>46544</v>
      </c>
      <c r="I19" s="142" t="n">
        <f>IF(I$5="","",I$5)</f>
        <v>46545</v>
      </c>
      <c r="J19" s="142" t="n">
        <f>IF(J$5="","",J$5)</f>
        <v>46546</v>
      </c>
      <c r="K19" s="142" t="n">
        <f>IF(K$5="","",K$5)</f>
        <v>46547</v>
      </c>
      <c r="L19" s="142" t="n">
        <f>IF(L$5="","",L$5)</f>
        <v>46548</v>
      </c>
      <c r="M19" s="142" t="n">
        <f>IF(M$5="","",M$5)</f>
        <v>46549</v>
      </c>
      <c r="N19" s="142" t="n">
        <f>IF(N$5="","",N$5)</f>
        <v>46550</v>
      </c>
      <c r="O19" s="142" t="n">
        <f>IF(O$5="","",O$5)</f>
        <v>46551</v>
      </c>
      <c r="P19" s="142" t="n">
        <f>IF(P$5="","",P$5)</f>
        <v>46552</v>
      </c>
      <c r="Q19" s="142" t="n">
        <f>IF(Q$5="","",Q$5)</f>
        <v>46553</v>
      </c>
      <c r="R19" s="142" t="n">
        <f>IF(R$5="","",R$5)</f>
        <v>46554</v>
      </c>
      <c r="S19" s="142" t="n">
        <f>IF(S$5="","",S$5)</f>
        <v>46555</v>
      </c>
      <c r="T19" s="142" t="n">
        <f>IF(T$5="","",T$5)</f>
        <v>46556</v>
      </c>
      <c r="U19" s="142" t="n">
        <f>IF(U$5="","",U$5)</f>
        <v>46557</v>
      </c>
      <c r="V19" s="142" t="n">
        <f>IF(V$5="","",V$5)</f>
        <v>46558</v>
      </c>
      <c r="W19" s="142" t="n">
        <f>IF(W$5="","",W$5)</f>
        <v>46559</v>
      </c>
      <c r="X19" s="142" t="n">
        <f>IF(X$5="","",X$5)</f>
        <v>46560</v>
      </c>
      <c r="Y19" s="142" t="n">
        <f>IF(Y$5="","",Y$5)</f>
        <v>46561</v>
      </c>
      <c r="Z19" s="142" t="n">
        <f>IF(Z$5="","",Z$5)</f>
        <v>46562</v>
      </c>
      <c r="AA19" s="142" t="n">
        <f>IF(AA$5="","",AA$5)</f>
        <v>46563</v>
      </c>
      <c r="AB19" s="142" t="n">
        <f>IF(AB$5="","",AB$5)</f>
        <v>46564</v>
      </c>
      <c r="AC19" s="142" t="n">
        <f>IF(AC$5="","",AC$5)</f>
        <v>46565</v>
      </c>
      <c r="AD19" s="142" t="n">
        <f>IF(AD$5="","",AD$5)</f>
        <v>46566</v>
      </c>
      <c r="AE19" s="142" t="n">
        <f>IF(AE$5="","",AE$5)</f>
        <v>46567</v>
      </c>
      <c r="AF19" s="142" t="n">
        <f>IF(AF$5="","",AF$5)</f>
        <v>46568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46539</v>
      </c>
      <c r="D30" s="48" t="n">
        <f>IF(D$5="","",D$5)</f>
        <v>46540</v>
      </c>
      <c r="E30" s="48" t="n">
        <f>IF(E$5="","",E$5)</f>
        <v>46541</v>
      </c>
      <c r="F30" s="48" t="n">
        <f>IF(F$5="","",F$5)</f>
        <v>46542</v>
      </c>
      <c r="G30" s="48" t="n">
        <f>IF(G$5="","",G$5)</f>
        <v>46543</v>
      </c>
      <c r="H30" s="48" t="n">
        <f>IF(H$5="","",H$5)</f>
        <v>46544</v>
      </c>
      <c r="I30" s="48" t="n">
        <f>IF(I$5="","",I$5)</f>
        <v>46545</v>
      </c>
      <c r="J30" s="48" t="n">
        <f>IF(J$5="","",J$5)</f>
        <v>46546</v>
      </c>
      <c r="K30" s="48" t="n">
        <f>IF(K$5="","",K$5)</f>
        <v>46547</v>
      </c>
      <c r="L30" s="48" t="n">
        <f>IF(L$5="","",L$5)</f>
        <v>46548</v>
      </c>
      <c r="M30" s="48" t="n">
        <f>IF(M$5="","",M$5)</f>
        <v>46549</v>
      </c>
      <c r="N30" s="48" t="n">
        <f>IF(N$5="","",N$5)</f>
        <v>46550</v>
      </c>
      <c r="O30" s="48" t="n">
        <f>IF(O$5="","",O$5)</f>
        <v>46551</v>
      </c>
      <c r="P30" s="48" t="n">
        <f>IF(P$5="","",P$5)</f>
        <v>46552</v>
      </c>
      <c r="Q30" s="48" t="n">
        <f>IF(Q$5="","",Q$5)</f>
        <v>46553</v>
      </c>
      <c r="R30" s="48" t="n">
        <f>IF(R$5="","",R$5)</f>
        <v>46554</v>
      </c>
      <c r="S30" s="48" t="n">
        <f>IF(S$5="","",S$5)</f>
        <v>46555</v>
      </c>
      <c r="T30" s="48" t="n">
        <f>IF(T$5="","",T$5)</f>
        <v>46556</v>
      </c>
      <c r="U30" s="48" t="n">
        <f>IF(U$5="","",U$5)</f>
        <v>46557</v>
      </c>
      <c r="V30" s="48" t="n">
        <f>IF(V$5="","",V$5)</f>
        <v>46558</v>
      </c>
      <c r="W30" s="48" t="n">
        <f>IF(W$5="","",W$5)</f>
        <v>46559</v>
      </c>
      <c r="X30" s="48" t="n">
        <f>IF(X$5="","",X$5)</f>
        <v>46560</v>
      </c>
      <c r="Y30" s="48" t="n">
        <f>IF(Y$5="","",Y$5)</f>
        <v>46561</v>
      </c>
      <c r="Z30" s="48" t="n">
        <f>IF(Z$5="","",Z$5)</f>
        <v>46562</v>
      </c>
      <c r="AA30" s="48" t="n">
        <f>IF(AA$5="","",AA$5)</f>
        <v>46563</v>
      </c>
      <c r="AB30" s="48" t="n">
        <f>IF(AB$5="","",AB$5)</f>
        <v>46564</v>
      </c>
      <c r="AC30" s="48" t="n">
        <f>IF(AC$5="","",AC$5)</f>
        <v>46565</v>
      </c>
      <c r="AD30" s="48" t="n">
        <f>IF(AD$5="","",AD$5)</f>
        <v>46566</v>
      </c>
      <c r="AE30" s="48" t="n">
        <f>IF(AE$5="","",AE$5)</f>
        <v>46567</v>
      </c>
      <c r="AF30" s="48" t="n">
        <f>IF(AF$5="","",AF$5)</f>
        <v>46568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46539</v>
      </c>
      <c r="D31" s="142" t="n">
        <f>IF(D$5="","",D$5)</f>
        <v>46540</v>
      </c>
      <c r="E31" s="142" t="n">
        <f>IF(E$5="","",E$5)</f>
        <v>46541</v>
      </c>
      <c r="F31" s="142" t="n">
        <f>IF(F$5="","",F$5)</f>
        <v>46542</v>
      </c>
      <c r="G31" s="142" t="n">
        <f>IF(G$5="","",G$5)</f>
        <v>46543</v>
      </c>
      <c r="H31" s="142" t="n">
        <f>IF(H$5="","",H$5)</f>
        <v>46544</v>
      </c>
      <c r="I31" s="142" t="n">
        <f>IF(I$5="","",I$5)</f>
        <v>46545</v>
      </c>
      <c r="J31" s="142" t="n">
        <f>IF(J$5="","",J$5)</f>
        <v>46546</v>
      </c>
      <c r="K31" s="142" t="n">
        <f>IF(K$5="","",K$5)</f>
        <v>46547</v>
      </c>
      <c r="L31" s="142" t="n">
        <f>IF(L$5="","",L$5)</f>
        <v>46548</v>
      </c>
      <c r="M31" s="142" t="n">
        <f>IF(M$5="","",M$5)</f>
        <v>46549</v>
      </c>
      <c r="N31" s="142" t="n">
        <f>IF(N$5="","",N$5)</f>
        <v>46550</v>
      </c>
      <c r="O31" s="142" t="n">
        <f>IF(O$5="","",O$5)</f>
        <v>46551</v>
      </c>
      <c r="P31" s="142" t="n">
        <f>IF(P$5="","",P$5)</f>
        <v>46552</v>
      </c>
      <c r="Q31" s="142" t="n">
        <f>IF(Q$5="","",Q$5)</f>
        <v>46553</v>
      </c>
      <c r="R31" s="142" t="n">
        <f>IF(R$5="","",R$5)</f>
        <v>46554</v>
      </c>
      <c r="S31" s="142" t="n">
        <f>IF(S$5="","",S$5)</f>
        <v>46555</v>
      </c>
      <c r="T31" s="142" t="n">
        <f>IF(T$5="","",T$5)</f>
        <v>46556</v>
      </c>
      <c r="U31" s="142" t="n">
        <f>IF(U$5="","",U$5)</f>
        <v>46557</v>
      </c>
      <c r="V31" s="142" t="n">
        <f>IF(V$5="","",V$5)</f>
        <v>46558</v>
      </c>
      <c r="W31" s="142" t="n">
        <f>IF(W$5="","",W$5)</f>
        <v>46559</v>
      </c>
      <c r="X31" s="142" t="n">
        <f>IF(X$5="","",X$5)</f>
        <v>46560</v>
      </c>
      <c r="Y31" s="142" t="n">
        <f>IF(Y$5="","",Y$5)</f>
        <v>46561</v>
      </c>
      <c r="Z31" s="142" t="n">
        <f>IF(Z$5="","",Z$5)</f>
        <v>46562</v>
      </c>
      <c r="AA31" s="142" t="n">
        <f>IF(AA$5="","",AA$5)</f>
        <v>46563</v>
      </c>
      <c r="AB31" s="142" t="n">
        <f>IF(AB$5="","",AB$5)</f>
        <v>46564</v>
      </c>
      <c r="AC31" s="142" t="n">
        <f>IF(AC$5="","",AC$5)</f>
        <v>46565</v>
      </c>
      <c r="AD31" s="142" t="n">
        <f>IF(AD$5="","",AD$5)</f>
        <v>46566</v>
      </c>
      <c r="AE31" s="142" t="n">
        <f>IF(AE$5="","",AE$5)</f>
        <v>46567</v>
      </c>
      <c r="AF31" s="142" t="n">
        <f>IF(AF$5="","",AF$5)</f>
        <v>46568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summary'!$C$4,6,1),DATE('Billable summary'!$C$4,7,0))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12" priority="1">
      <formula>OR(C$5="",WEEKDAY(C$5,2)&gt;5)</formula>
    </cfRule>
    <cfRule type="expression" dxfId="113" priority="2">
      <formula>AND(C$5="",NOT(ISBLANK(C7)))</formula>
    </cfRule>
  </conditionalFormatting>
  <conditionalFormatting sqref="C20:AG25">
    <cfRule type="expression" dxfId="114" priority="3">
      <formula>OR(C$5="",WEEKDAY(C$5,2)&gt;5)</formula>
    </cfRule>
    <cfRule type="expression" dxfId="115" priority="4">
      <formula>AND(C$5="",NOT(ISBLANK(C20)))</formula>
    </cfRule>
  </conditionalFormatting>
  <conditionalFormatting sqref="C32:AG35">
    <cfRule type="expression" dxfId="116" priority="5">
      <formula>OR(C$5="",WEEKDAY(C$5,2)&gt;5)</formula>
    </cfRule>
    <cfRule type="expression" dxfId="117" priority="6">
      <formula>AND(C$5="",NOT(ISBLANK(C32)))</formula>
    </cfRule>
  </conditionalFormatting>
  <conditionalFormatting sqref="I43:K43">
    <cfRule type="expression" dxfId="118" priority="7">
      <formula>AND(ISNUMBER($I$43),$I$43&gt;=$I$44)</formula>
    </cfRule>
    <cfRule type="expression" dxfId="119" priority="8">
      <formula>AND(ISNUMBER($I$43),$I$43&lt;$I$44)</formula>
    </cfRule>
  </conditionalFormatting>
  <conditionalFormatting sqref="B51:AH51">
    <cfRule type="containsText" dxfId="120" priority="9" operator="containsText" text="Check"/>
    <cfRule type="containsText" dxfId="121" priority="10" operator="containsText" text="Invalid"/>
    <cfRule type="containsText" dxfId="122" priority="11" operator="containsText" text="Negative"/>
    <cfRule type="containsText" dxfId="12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summary'!$C$4,7,1),"mmmm yyyy")</f>
        <v>July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summary'!$C$4,8,0)),DATE('Billable summary'!$C$4,7,1),"")</f>
        <v>46569</v>
      </c>
      <c r="D5" s="48" t="n">
        <f>IF(2&lt;=DAY(DATE('Billable summary'!$C$4,8,0)),DATE('Billable summary'!$C$4,7,2),"")</f>
        <v>46570</v>
      </c>
      <c r="E5" s="48" t="n">
        <f>IF(3&lt;=DAY(DATE('Billable summary'!$C$4,8,0)),DATE('Billable summary'!$C$4,7,3),"")</f>
        <v>46571</v>
      </c>
      <c r="F5" s="48" t="n">
        <f>IF(4&lt;=DAY(DATE('Billable summary'!$C$4,8,0)),DATE('Billable summary'!$C$4,7,4),"")</f>
        <v>46572</v>
      </c>
      <c r="G5" s="48" t="n">
        <f>IF(5&lt;=DAY(DATE('Billable summary'!$C$4,8,0)),DATE('Billable summary'!$C$4,7,5),"")</f>
        <v>46573</v>
      </c>
      <c r="H5" s="48" t="n">
        <f>IF(6&lt;=DAY(DATE('Billable summary'!$C$4,8,0)),DATE('Billable summary'!$C$4,7,6),"")</f>
        <v>46574</v>
      </c>
      <c r="I5" s="48" t="n">
        <f>IF(7&lt;=DAY(DATE('Billable summary'!$C$4,8,0)),DATE('Billable summary'!$C$4,7,7),"")</f>
        <v>46575</v>
      </c>
      <c r="J5" s="48" t="n">
        <f>IF(8&lt;=DAY(DATE('Billable summary'!$C$4,8,0)),DATE('Billable summary'!$C$4,7,8),"")</f>
        <v>46576</v>
      </c>
      <c r="K5" s="48" t="n">
        <f>IF(9&lt;=DAY(DATE('Billable summary'!$C$4,8,0)),DATE('Billable summary'!$C$4,7,9),"")</f>
        <v>46577</v>
      </c>
      <c r="L5" s="48" t="n">
        <f>IF(10&lt;=DAY(DATE('Billable summary'!$C$4,8,0)),DATE('Billable summary'!$C$4,7,10),"")</f>
        <v>46578</v>
      </c>
      <c r="M5" s="48" t="n">
        <f>IF(11&lt;=DAY(DATE('Billable summary'!$C$4,8,0)),DATE('Billable summary'!$C$4,7,11),"")</f>
        <v>46579</v>
      </c>
      <c r="N5" s="48" t="n">
        <f>IF(12&lt;=DAY(DATE('Billable summary'!$C$4,8,0)),DATE('Billable summary'!$C$4,7,12),"")</f>
        <v>46580</v>
      </c>
      <c r="O5" s="48" t="n">
        <f>IF(13&lt;=DAY(DATE('Billable summary'!$C$4,8,0)),DATE('Billable summary'!$C$4,7,13),"")</f>
        <v>46581</v>
      </c>
      <c r="P5" s="48" t="n">
        <f>IF(14&lt;=DAY(DATE('Billable summary'!$C$4,8,0)),DATE('Billable summary'!$C$4,7,14),"")</f>
        <v>46582</v>
      </c>
      <c r="Q5" s="48" t="n">
        <f>IF(15&lt;=DAY(DATE('Billable summary'!$C$4,8,0)),DATE('Billable summary'!$C$4,7,15),"")</f>
        <v>46583</v>
      </c>
      <c r="R5" s="48" t="n">
        <f>IF(16&lt;=DAY(DATE('Billable summary'!$C$4,8,0)),DATE('Billable summary'!$C$4,7,16),"")</f>
        <v>46584</v>
      </c>
      <c r="S5" s="48" t="n">
        <f>IF(17&lt;=DAY(DATE('Billable summary'!$C$4,8,0)),DATE('Billable summary'!$C$4,7,17),"")</f>
        <v>46585</v>
      </c>
      <c r="T5" s="48" t="n">
        <f>IF(18&lt;=DAY(DATE('Billable summary'!$C$4,8,0)),DATE('Billable summary'!$C$4,7,18),"")</f>
        <v>46586</v>
      </c>
      <c r="U5" s="48" t="n">
        <f>IF(19&lt;=DAY(DATE('Billable summary'!$C$4,8,0)),DATE('Billable summary'!$C$4,7,19),"")</f>
        <v>46587</v>
      </c>
      <c r="V5" s="48" t="n">
        <f>IF(20&lt;=DAY(DATE('Billable summary'!$C$4,8,0)),DATE('Billable summary'!$C$4,7,20),"")</f>
        <v>46588</v>
      </c>
      <c r="W5" s="48" t="n">
        <f>IF(21&lt;=DAY(DATE('Billable summary'!$C$4,8,0)),DATE('Billable summary'!$C$4,7,21),"")</f>
        <v>46589</v>
      </c>
      <c r="X5" s="48" t="n">
        <f>IF(22&lt;=DAY(DATE('Billable summary'!$C$4,8,0)),DATE('Billable summary'!$C$4,7,22),"")</f>
        <v>46590</v>
      </c>
      <c r="Y5" s="48" t="n">
        <f>IF(23&lt;=DAY(DATE('Billable summary'!$C$4,8,0)),DATE('Billable summary'!$C$4,7,23),"")</f>
        <v>46591</v>
      </c>
      <c r="Z5" s="48" t="n">
        <f>IF(24&lt;=DAY(DATE('Billable summary'!$C$4,8,0)),DATE('Billable summary'!$C$4,7,24),"")</f>
        <v>46592</v>
      </c>
      <c r="AA5" s="48" t="n">
        <f>IF(25&lt;=DAY(DATE('Billable summary'!$C$4,8,0)),DATE('Billable summary'!$C$4,7,25),"")</f>
        <v>46593</v>
      </c>
      <c r="AB5" s="48" t="n">
        <f>IF(26&lt;=DAY(DATE('Billable summary'!$C$4,8,0)),DATE('Billable summary'!$C$4,7,26),"")</f>
        <v>46594</v>
      </c>
      <c r="AC5" s="48" t="n">
        <f>IF(27&lt;=DAY(DATE('Billable summary'!$C$4,8,0)),DATE('Billable summary'!$C$4,7,27),"")</f>
        <v>46595</v>
      </c>
      <c r="AD5" s="48" t="n">
        <f>IF(28&lt;=DAY(DATE('Billable summary'!$C$4,8,0)),DATE('Billable summary'!$C$4,7,28),"")</f>
        <v>46596</v>
      </c>
      <c r="AE5" s="48" t="n">
        <f>IF(29&lt;=DAY(DATE('Billable summary'!$C$4,8,0)),DATE('Billable summary'!$C$4,7,29),"")</f>
        <v>46597</v>
      </c>
      <c r="AF5" s="48" t="n">
        <f>IF(30&lt;=DAY(DATE('Billable summary'!$C$4,8,0)),DATE('Billable summary'!$C$4,7,30),"")</f>
        <v>46598</v>
      </c>
      <c r="AG5" s="48" t="n">
        <f>IF(31&lt;=DAY(DATE('Billable summary'!$C$4,8,0)),DATE('Billable summary'!$C$4,7,31),"")</f>
        <v>46599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46569</v>
      </c>
      <c r="D6" s="142" t="n">
        <f>IF(D$5="","",D$5)</f>
        <v>46570</v>
      </c>
      <c r="E6" s="142" t="n">
        <f>IF(E$5="","",E$5)</f>
        <v>46571</v>
      </c>
      <c r="F6" s="142" t="n">
        <f>IF(F$5="","",F$5)</f>
        <v>46572</v>
      </c>
      <c r="G6" s="142" t="n">
        <f>IF(G$5="","",G$5)</f>
        <v>46573</v>
      </c>
      <c r="H6" s="142" t="n">
        <f>IF(H$5="","",H$5)</f>
        <v>46574</v>
      </c>
      <c r="I6" s="142" t="n">
        <f>IF(I$5="","",I$5)</f>
        <v>46575</v>
      </c>
      <c r="J6" s="142" t="n">
        <f>IF(J$5="","",J$5)</f>
        <v>46576</v>
      </c>
      <c r="K6" s="142" t="n">
        <f>IF(K$5="","",K$5)</f>
        <v>46577</v>
      </c>
      <c r="L6" s="142" t="n">
        <f>IF(L$5="","",L$5)</f>
        <v>46578</v>
      </c>
      <c r="M6" s="142" t="n">
        <f>IF(M$5="","",M$5)</f>
        <v>46579</v>
      </c>
      <c r="N6" s="142" t="n">
        <f>IF(N$5="","",N$5)</f>
        <v>46580</v>
      </c>
      <c r="O6" s="142" t="n">
        <f>IF(O$5="","",O$5)</f>
        <v>46581</v>
      </c>
      <c r="P6" s="142" t="n">
        <f>IF(P$5="","",P$5)</f>
        <v>46582</v>
      </c>
      <c r="Q6" s="142" t="n">
        <f>IF(Q$5="","",Q$5)</f>
        <v>46583</v>
      </c>
      <c r="R6" s="142" t="n">
        <f>IF(R$5="","",R$5)</f>
        <v>46584</v>
      </c>
      <c r="S6" s="142" t="n">
        <f>IF(S$5="","",S$5)</f>
        <v>46585</v>
      </c>
      <c r="T6" s="142" t="n">
        <f>IF(T$5="","",T$5)</f>
        <v>46586</v>
      </c>
      <c r="U6" s="142" t="n">
        <f>IF(U$5="","",U$5)</f>
        <v>46587</v>
      </c>
      <c r="V6" s="142" t="n">
        <f>IF(V$5="","",V$5)</f>
        <v>46588</v>
      </c>
      <c r="W6" s="142" t="n">
        <f>IF(W$5="","",W$5)</f>
        <v>46589</v>
      </c>
      <c r="X6" s="142" t="n">
        <f>IF(X$5="","",X$5)</f>
        <v>46590</v>
      </c>
      <c r="Y6" s="142" t="n">
        <f>IF(Y$5="","",Y$5)</f>
        <v>46591</v>
      </c>
      <c r="Z6" s="142" t="n">
        <f>IF(Z$5="","",Z$5)</f>
        <v>46592</v>
      </c>
      <c r="AA6" s="142" t="n">
        <f>IF(AA$5="","",AA$5)</f>
        <v>46593</v>
      </c>
      <c r="AB6" s="142" t="n">
        <f>IF(AB$5="","",AB$5)</f>
        <v>46594</v>
      </c>
      <c r="AC6" s="142" t="n">
        <f>IF(AC$5="","",AC$5)</f>
        <v>46595</v>
      </c>
      <c r="AD6" s="142" t="n">
        <f>IF(AD$5="","",AD$5)</f>
        <v>46596</v>
      </c>
      <c r="AE6" s="142" t="n">
        <f>IF(AE$5="","",AE$5)</f>
        <v>46597</v>
      </c>
      <c r="AF6" s="142" t="n">
        <f>IF(AF$5="","",AF$5)</f>
        <v>46598</v>
      </c>
      <c r="AG6" s="142" t="n">
        <f>IF(AG$5="","",AG$5)</f>
        <v>46599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46569</v>
      </c>
      <c r="D19" s="142" t="n">
        <f>IF(D$5="","",D$5)</f>
        <v>46570</v>
      </c>
      <c r="E19" s="142" t="n">
        <f>IF(E$5="","",E$5)</f>
        <v>46571</v>
      </c>
      <c r="F19" s="142" t="n">
        <f>IF(F$5="","",F$5)</f>
        <v>46572</v>
      </c>
      <c r="G19" s="142" t="n">
        <f>IF(G$5="","",G$5)</f>
        <v>46573</v>
      </c>
      <c r="H19" s="142" t="n">
        <f>IF(H$5="","",H$5)</f>
        <v>46574</v>
      </c>
      <c r="I19" s="142" t="n">
        <f>IF(I$5="","",I$5)</f>
        <v>46575</v>
      </c>
      <c r="J19" s="142" t="n">
        <f>IF(J$5="","",J$5)</f>
        <v>46576</v>
      </c>
      <c r="K19" s="142" t="n">
        <f>IF(K$5="","",K$5)</f>
        <v>46577</v>
      </c>
      <c r="L19" s="142" t="n">
        <f>IF(L$5="","",L$5)</f>
        <v>46578</v>
      </c>
      <c r="M19" s="142" t="n">
        <f>IF(M$5="","",M$5)</f>
        <v>46579</v>
      </c>
      <c r="N19" s="142" t="n">
        <f>IF(N$5="","",N$5)</f>
        <v>46580</v>
      </c>
      <c r="O19" s="142" t="n">
        <f>IF(O$5="","",O$5)</f>
        <v>46581</v>
      </c>
      <c r="P19" s="142" t="n">
        <f>IF(P$5="","",P$5)</f>
        <v>46582</v>
      </c>
      <c r="Q19" s="142" t="n">
        <f>IF(Q$5="","",Q$5)</f>
        <v>46583</v>
      </c>
      <c r="R19" s="142" t="n">
        <f>IF(R$5="","",R$5)</f>
        <v>46584</v>
      </c>
      <c r="S19" s="142" t="n">
        <f>IF(S$5="","",S$5)</f>
        <v>46585</v>
      </c>
      <c r="T19" s="142" t="n">
        <f>IF(T$5="","",T$5)</f>
        <v>46586</v>
      </c>
      <c r="U19" s="142" t="n">
        <f>IF(U$5="","",U$5)</f>
        <v>46587</v>
      </c>
      <c r="V19" s="142" t="n">
        <f>IF(V$5="","",V$5)</f>
        <v>46588</v>
      </c>
      <c r="W19" s="142" t="n">
        <f>IF(W$5="","",W$5)</f>
        <v>46589</v>
      </c>
      <c r="X19" s="142" t="n">
        <f>IF(X$5="","",X$5)</f>
        <v>46590</v>
      </c>
      <c r="Y19" s="142" t="n">
        <f>IF(Y$5="","",Y$5)</f>
        <v>46591</v>
      </c>
      <c r="Z19" s="142" t="n">
        <f>IF(Z$5="","",Z$5)</f>
        <v>46592</v>
      </c>
      <c r="AA19" s="142" t="n">
        <f>IF(AA$5="","",AA$5)</f>
        <v>46593</v>
      </c>
      <c r="AB19" s="142" t="n">
        <f>IF(AB$5="","",AB$5)</f>
        <v>46594</v>
      </c>
      <c r="AC19" s="142" t="n">
        <f>IF(AC$5="","",AC$5)</f>
        <v>46595</v>
      </c>
      <c r="AD19" s="142" t="n">
        <f>IF(AD$5="","",AD$5)</f>
        <v>46596</v>
      </c>
      <c r="AE19" s="142" t="n">
        <f>IF(AE$5="","",AE$5)</f>
        <v>46597</v>
      </c>
      <c r="AF19" s="142" t="n">
        <f>IF(AF$5="","",AF$5)</f>
        <v>46598</v>
      </c>
      <c r="AG19" s="142" t="n">
        <f>IF(AG$5="","",AG$5)</f>
        <v>46599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46569</v>
      </c>
      <c r="D30" s="48" t="n">
        <f>IF(D$5="","",D$5)</f>
        <v>46570</v>
      </c>
      <c r="E30" s="48" t="n">
        <f>IF(E$5="","",E$5)</f>
        <v>46571</v>
      </c>
      <c r="F30" s="48" t="n">
        <f>IF(F$5="","",F$5)</f>
        <v>46572</v>
      </c>
      <c r="G30" s="48" t="n">
        <f>IF(G$5="","",G$5)</f>
        <v>46573</v>
      </c>
      <c r="H30" s="48" t="n">
        <f>IF(H$5="","",H$5)</f>
        <v>46574</v>
      </c>
      <c r="I30" s="48" t="n">
        <f>IF(I$5="","",I$5)</f>
        <v>46575</v>
      </c>
      <c r="J30" s="48" t="n">
        <f>IF(J$5="","",J$5)</f>
        <v>46576</v>
      </c>
      <c r="K30" s="48" t="n">
        <f>IF(K$5="","",K$5)</f>
        <v>46577</v>
      </c>
      <c r="L30" s="48" t="n">
        <f>IF(L$5="","",L$5)</f>
        <v>46578</v>
      </c>
      <c r="M30" s="48" t="n">
        <f>IF(M$5="","",M$5)</f>
        <v>46579</v>
      </c>
      <c r="N30" s="48" t="n">
        <f>IF(N$5="","",N$5)</f>
        <v>46580</v>
      </c>
      <c r="O30" s="48" t="n">
        <f>IF(O$5="","",O$5)</f>
        <v>46581</v>
      </c>
      <c r="P30" s="48" t="n">
        <f>IF(P$5="","",P$5)</f>
        <v>46582</v>
      </c>
      <c r="Q30" s="48" t="n">
        <f>IF(Q$5="","",Q$5)</f>
        <v>46583</v>
      </c>
      <c r="R30" s="48" t="n">
        <f>IF(R$5="","",R$5)</f>
        <v>46584</v>
      </c>
      <c r="S30" s="48" t="n">
        <f>IF(S$5="","",S$5)</f>
        <v>46585</v>
      </c>
      <c r="T30" s="48" t="n">
        <f>IF(T$5="","",T$5)</f>
        <v>46586</v>
      </c>
      <c r="U30" s="48" t="n">
        <f>IF(U$5="","",U$5)</f>
        <v>46587</v>
      </c>
      <c r="V30" s="48" t="n">
        <f>IF(V$5="","",V$5)</f>
        <v>46588</v>
      </c>
      <c r="W30" s="48" t="n">
        <f>IF(W$5="","",W$5)</f>
        <v>46589</v>
      </c>
      <c r="X30" s="48" t="n">
        <f>IF(X$5="","",X$5)</f>
        <v>46590</v>
      </c>
      <c r="Y30" s="48" t="n">
        <f>IF(Y$5="","",Y$5)</f>
        <v>46591</v>
      </c>
      <c r="Z30" s="48" t="n">
        <f>IF(Z$5="","",Z$5)</f>
        <v>46592</v>
      </c>
      <c r="AA30" s="48" t="n">
        <f>IF(AA$5="","",AA$5)</f>
        <v>46593</v>
      </c>
      <c r="AB30" s="48" t="n">
        <f>IF(AB$5="","",AB$5)</f>
        <v>46594</v>
      </c>
      <c r="AC30" s="48" t="n">
        <f>IF(AC$5="","",AC$5)</f>
        <v>46595</v>
      </c>
      <c r="AD30" s="48" t="n">
        <f>IF(AD$5="","",AD$5)</f>
        <v>46596</v>
      </c>
      <c r="AE30" s="48" t="n">
        <f>IF(AE$5="","",AE$5)</f>
        <v>46597</v>
      </c>
      <c r="AF30" s="48" t="n">
        <f>IF(AF$5="","",AF$5)</f>
        <v>46598</v>
      </c>
      <c r="AG30" s="48" t="n">
        <f>IF(AG$5="","",AG$5)</f>
        <v>46599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46569</v>
      </c>
      <c r="D31" s="142" t="n">
        <f>IF(D$5="","",D$5)</f>
        <v>46570</v>
      </c>
      <c r="E31" s="142" t="n">
        <f>IF(E$5="","",E$5)</f>
        <v>46571</v>
      </c>
      <c r="F31" s="142" t="n">
        <f>IF(F$5="","",F$5)</f>
        <v>46572</v>
      </c>
      <c r="G31" s="142" t="n">
        <f>IF(G$5="","",G$5)</f>
        <v>46573</v>
      </c>
      <c r="H31" s="142" t="n">
        <f>IF(H$5="","",H$5)</f>
        <v>46574</v>
      </c>
      <c r="I31" s="142" t="n">
        <f>IF(I$5="","",I$5)</f>
        <v>46575</v>
      </c>
      <c r="J31" s="142" t="n">
        <f>IF(J$5="","",J$5)</f>
        <v>46576</v>
      </c>
      <c r="K31" s="142" t="n">
        <f>IF(K$5="","",K$5)</f>
        <v>46577</v>
      </c>
      <c r="L31" s="142" t="n">
        <f>IF(L$5="","",L$5)</f>
        <v>46578</v>
      </c>
      <c r="M31" s="142" t="n">
        <f>IF(M$5="","",M$5)</f>
        <v>46579</v>
      </c>
      <c r="N31" s="142" t="n">
        <f>IF(N$5="","",N$5)</f>
        <v>46580</v>
      </c>
      <c r="O31" s="142" t="n">
        <f>IF(O$5="","",O$5)</f>
        <v>46581</v>
      </c>
      <c r="P31" s="142" t="n">
        <f>IF(P$5="","",P$5)</f>
        <v>46582</v>
      </c>
      <c r="Q31" s="142" t="n">
        <f>IF(Q$5="","",Q$5)</f>
        <v>46583</v>
      </c>
      <c r="R31" s="142" t="n">
        <f>IF(R$5="","",R$5)</f>
        <v>46584</v>
      </c>
      <c r="S31" s="142" t="n">
        <f>IF(S$5="","",S$5)</f>
        <v>46585</v>
      </c>
      <c r="T31" s="142" t="n">
        <f>IF(T$5="","",T$5)</f>
        <v>46586</v>
      </c>
      <c r="U31" s="142" t="n">
        <f>IF(U$5="","",U$5)</f>
        <v>46587</v>
      </c>
      <c r="V31" s="142" t="n">
        <f>IF(V$5="","",V$5)</f>
        <v>46588</v>
      </c>
      <c r="W31" s="142" t="n">
        <f>IF(W$5="","",W$5)</f>
        <v>46589</v>
      </c>
      <c r="X31" s="142" t="n">
        <f>IF(X$5="","",X$5)</f>
        <v>46590</v>
      </c>
      <c r="Y31" s="142" t="n">
        <f>IF(Y$5="","",Y$5)</f>
        <v>46591</v>
      </c>
      <c r="Z31" s="142" t="n">
        <f>IF(Z$5="","",Z$5)</f>
        <v>46592</v>
      </c>
      <c r="AA31" s="142" t="n">
        <f>IF(AA$5="","",AA$5)</f>
        <v>46593</v>
      </c>
      <c r="AB31" s="142" t="n">
        <f>IF(AB$5="","",AB$5)</f>
        <v>46594</v>
      </c>
      <c r="AC31" s="142" t="n">
        <f>IF(AC$5="","",AC$5)</f>
        <v>46595</v>
      </c>
      <c r="AD31" s="142" t="n">
        <f>IF(AD$5="","",AD$5)</f>
        <v>46596</v>
      </c>
      <c r="AE31" s="142" t="n">
        <f>IF(AE$5="","",AE$5)</f>
        <v>46597</v>
      </c>
      <c r="AF31" s="142" t="n">
        <f>IF(AF$5="","",AF$5)</f>
        <v>46598</v>
      </c>
      <c r="AG31" s="142" t="n">
        <f>IF(AG$5="","",AG$5)</f>
        <v>46599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summary'!$C$4,7,1),DATE('Billable summary'!$C$4,8,0))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24" priority="1">
      <formula>OR(C$5="",WEEKDAY(C$5,2)&gt;5)</formula>
    </cfRule>
    <cfRule type="expression" dxfId="125" priority="2">
      <formula>AND(C$5="",NOT(ISBLANK(C7)))</formula>
    </cfRule>
  </conditionalFormatting>
  <conditionalFormatting sqref="C20:AG25">
    <cfRule type="expression" dxfId="126" priority="3">
      <formula>OR(C$5="",WEEKDAY(C$5,2)&gt;5)</formula>
    </cfRule>
    <cfRule type="expression" dxfId="127" priority="4">
      <formula>AND(C$5="",NOT(ISBLANK(C20)))</formula>
    </cfRule>
  </conditionalFormatting>
  <conditionalFormatting sqref="C32:AG35">
    <cfRule type="expression" dxfId="128" priority="5">
      <formula>OR(C$5="",WEEKDAY(C$5,2)&gt;5)</formula>
    </cfRule>
    <cfRule type="expression" dxfId="129" priority="6">
      <formula>AND(C$5="",NOT(ISBLANK(C32)))</formula>
    </cfRule>
  </conditionalFormatting>
  <conditionalFormatting sqref="I43:K43">
    <cfRule type="expression" dxfId="130" priority="7">
      <formula>AND(ISNUMBER($I$43),$I$43&gt;=$I$44)</formula>
    </cfRule>
    <cfRule type="expression" dxfId="131" priority="8">
      <formula>AND(ISNUMBER($I$43),$I$43&lt;$I$44)</formula>
    </cfRule>
  </conditionalFormatting>
  <conditionalFormatting sqref="B51:AH51">
    <cfRule type="containsText" dxfId="132" priority="9" operator="containsText" text="Check"/>
    <cfRule type="containsText" dxfId="133" priority="10" operator="containsText" text="Invalid"/>
    <cfRule type="containsText" dxfId="134" priority="11" operator="containsText" text="Negative"/>
    <cfRule type="containsText" dxfId="13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summary'!$C$4,8,1),"mmmm yyyy")</f>
        <v>August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summary'!$C$4,9,0)),DATE('Billable summary'!$C$4,8,1),"")</f>
        <v>46600</v>
      </c>
      <c r="D5" s="48" t="n">
        <f>IF(2&lt;=DAY(DATE('Billable summary'!$C$4,9,0)),DATE('Billable summary'!$C$4,8,2),"")</f>
        <v>46601</v>
      </c>
      <c r="E5" s="48" t="n">
        <f>IF(3&lt;=DAY(DATE('Billable summary'!$C$4,9,0)),DATE('Billable summary'!$C$4,8,3),"")</f>
        <v>46602</v>
      </c>
      <c r="F5" s="48" t="n">
        <f>IF(4&lt;=DAY(DATE('Billable summary'!$C$4,9,0)),DATE('Billable summary'!$C$4,8,4),"")</f>
        <v>46603</v>
      </c>
      <c r="G5" s="48" t="n">
        <f>IF(5&lt;=DAY(DATE('Billable summary'!$C$4,9,0)),DATE('Billable summary'!$C$4,8,5),"")</f>
        <v>46604</v>
      </c>
      <c r="H5" s="48" t="n">
        <f>IF(6&lt;=DAY(DATE('Billable summary'!$C$4,9,0)),DATE('Billable summary'!$C$4,8,6),"")</f>
        <v>46605</v>
      </c>
      <c r="I5" s="48" t="n">
        <f>IF(7&lt;=DAY(DATE('Billable summary'!$C$4,9,0)),DATE('Billable summary'!$C$4,8,7),"")</f>
        <v>46606</v>
      </c>
      <c r="J5" s="48" t="n">
        <f>IF(8&lt;=DAY(DATE('Billable summary'!$C$4,9,0)),DATE('Billable summary'!$C$4,8,8),"")</f>
        <v>46607</v>
      </c>
      <c r="K5" s="48" t="n">
        <f>IF(9&lt;=DAY(DATE('Billable summary'!$C$4,9,0)),DATE('Billable summary'!$C$4,8,9),"")</f>
        <v>46608</v>
      </c>
      <c r="L5" s="48" t="n">
        <f>IF(10&lt;=DAY(DATE('Billable summary'!$C$4,9,0)),DATE('Billable summary'!$C$4,8,10),"")</f>
        <v>46609</v>
      </c>
      <c r="M5" s="48" t="n">
        <f>IF(11&lt;=DAY(DATE('Billable summary'!$C$4,9,0)),DATE('Billable summary'!$C$4,8,11),"")</f>
        <v>46610</v>
      </c>
      <c r="N5" s="48" t="n">
        <f>IF(12&lt;=DAY(DATE('Billable summary'!$C$4,9,0)),DATE('Billable summary'!$C$4,8,12),"")</f>
        <v>46611</v>
      </c>
      <c r="O5" s="48" t="n">
        <f>IF(13&lt;=DAY(DATE('Billable summary'!$C$4,9,0)),DATE('Billable summary'!$C$4,8,13),"")</f>
        <v>46612</v>
      </c>
      <c r="P5" s="48" t="n">
        <f>IF(14&lt;=DAY(DATE('Billable summary'!$C$4,9,0)),DATE('Billable summary'!$C$4,8,14),"")</f>
        <v>46613</v>
      </c>
      <c r="Q5" s="48" t="n">
        <f>IF(15&lt;=DAY(DATE('Billable summary'!$C$4,9,0)),DATE('Billable summary'!$C$4,8,15),"")</f>
        <v>46614</v>
      </c>
      <c r="R5" s="48" t="n">
        <f>IF(16&lt;=DAY(DATE('Billable summary'!$C$4,9,0)),DATE('Billable summary'!$C$4,8,16),"")</f>
        <v>46615</v>
      </c>
      <c r="S5" s="48" t="n">
        <f>IF(17&lt;=DAY(DATE('Billable summary'!$C$4,9,0)),DATE('Billable summary'!$C$4,8,17),"")</f>
        <v>46616</v>
      </c>
      <c r="T5" s="48" t="n">
        <f>IF(18&lt;=DAY(DATE('Billable summary'!$C$4,9,0)),DATE('Billable summary'!$C$4,8,18),"")</f>
        <v>46617</v>
      </c>
      <c r="U5" s="48" t="n">
        <f>IF(19&lt;=DAY(DATE('Billable summary'!$C$4,9,0)),DATE('Billable summary'!$C$4,8,19),"")</f>
        <v>46618</v>
      </c>
      <c r="V5" s="48" t="n">
        <f>IF(20&lt;=DAY(DATE('Billable summary'!$C$4,9,0)),DATE('Billable summary'!$C$4,8,20),"")</f>
        <v>46619</v>
      </c>
      <c r="W5" s="48" t="n">
        <f>IF(21&lt;=DAY(DATE('Billable summary'!$C$4,9,0)),DATE('Billable summary'!$C$4,8,21),"")</f>
        <v>46620</v>
      </c>
      <c r="X5" s="48" t="n">
        <f>IF(22&lt;=DAY(DATE('Billable summary'!$C$4,9,0)),DATE('Billable summary'!$C$4,8,22),"")</f>
        <v>46621</v>
      </c>
      <c r="Y5" s="48" t="n">
        <f>IF(23&lt;=DAY(DATE('Billable summary'!$C$4,9,0)),DATE('Billable summary'!$C$4,8,23),"")</f>
        <v>46622</v>
      </c>
      <c r="Z5" s="48" t="n">
        <f>IF(24&lt;=DAY(DATE('Billable summary'!$C$4,9,0)),DATE('Billable summary'!$C$4,8,24),"")</f>
        <v>46623</v>
      </c>
      <c r="AA5" s="48" t="n">
        <f>IF(25&lt;=DAY(DATE('Billable summary'!$C$4,9,0)),DATE('Billable summary'!$C$4,8,25),"")</f>
        <v>46624</v>
      </c>
      <c r="AB5" s="48" t="n">
        <f>IF(26&lt;=DAY(DATE('Billable summary'!$C$4,9,0)),DATE('Billable summary'!$C$4,8,26),"")</f>
        <v>46625</v>
      </c>
      <c r="AC5" s="48" t="n">
        <f>IF(27&lt;=DAY(DATE('Billable summary'!$C$4,9,0)),DATE('Billable summary'!$C$4,8,27),"")</f>
        <v>46626</v>
      </c>
      <c r="AD5" s="48" t="n">
        <f>IF(28&lt;=DAY(DATE('Billable summary'!$C$4,9,0)),DATE('Billable summary'!$C$4,8,28),"")</f>
        <v>46627</v>
      </c>
      <c r="AE5" s="48" t="n">
        <f>IF(29&lt;=DAY(DATE('Billable summary'!$C$4,9,0)),DATE('Billable summary'!$C$4,8,29),"")</f>
        <v>46628</v>
      </c>
      <c r="AF5" s="48" t="n">
        <f>IF(30&lt;=DAY(DATE('Billable summary'!$C$4,9,0)),DATE('Billable summary'!$C$4,8,30),"")</f>
        <v>46629</v>
      </c>
      <c r="AG5" s="48" t="n">
        <f>IF(31&lt;=DAY(DATE('Billable summary'!$C$4,9,0)),DATE('Billable summary'!$C$4,8,31),"")</f>
        <v>46630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46600</v>
      </c>
      <c r="D6" s="142" t="n">
        <f>IF(D$5="","",D$5)</f>
        <v>46601</v>
      </c>
      <c r="E6" s="142" t="n">
        <f>IF(E$5="","",E$5)</f>
        <v>46602</v>
      </c>
      <c r="F6" s="142" t="n">
        <f>IF(F$5="","",F$5)</f>
        <v>46603</v>
      </c>
      <c r="G6" s="142" t="n">
        <f>IF(G$5="","",G$5)</f>
        <v>46604</v>
      </c>
      <c r="H6" s="142" t="n">
        <f>IF(H$5="","",H$5)</f>
        <v>46605</v>
      </c>
      <c r="I6" s="142" t="n">
        <f>IF(I$5="","",I$5)</f>
        <v>46606</v>
      </c>
      <c r="J6" s="142" t="n">
        <f>IF(J$5="","",J$5)</f>
        <v>46607</v>
      </c>
      <c r="K6" s="142" t="n">
        <f>IF(K$5="","",K$5)</f>
        <v>46608</v>
      </c>
      <c r="L6" s="142" t="n">
        <f>IF(L$5="","",L$5)</f>
        <v>46609</v>
      </c>
      <c r="M6" s="142" t="n">
        <f>IF(M$5="","",M$5)</f>
        <v>46610</v>
      </c>
      <c r="N6" s="142" t="n">
        <f>IF(N$5="","",N$5)</f>
        <v>46611</v>
      </c>
      <c r="O6" s="142" t="n">
        <f>IF(O$5="","",O$5)</f>
        <v>46612</v>
      </c>
      <c r="P6" s="142" t="n">
        <f>IF(P$5="","",P$5)</f>
        <v>46613</v>
      </c>
      <c r="Q6" s="142" t="n">
        <f>IF(Q$5="","",Q$5)</f>
        <v>46614</v>
      </c>
      <c r="R6" s="142" t="n">
        <f>IF(R$5="","",R$5)</f>
        <v>46615</v>
      </c>
      <c r="S6" s="142" t="n">
        <f>IF(S$5="","",S$5)</f>
        <v>46616</v>
      </c>
      <c r="T6" s="142" t="n">
        <f>IF(T$5="","",T$5)</f>
        <v>46617</v>
      </c>
      <c r="U6" s="142" t="n">
        <f>IF(U$5="","",U$5)</f>
        <v>46618</v>
      </c>
      <c r="V6" s="142" t="n">
        <f>IF(V$5="","",V$5)</f>
        <v>46619</v>
      </c>
      <c r="W6" s="142" t="n">
        <f>IF(W$5="","",W$5)</f>
        <v>46620</v>
      </c>
      <c r="X6" s="142" t="n">
        <f>IF(X$5="","",X$5)</f>
        <v>46621</v>
      </c>
      <c r="Y6" s="142" t="n">
        <f>IF(Y$5="","",Y$5)</f>
        <v>46622</v>
      </c>
      <c r="Z6" s="142" t="n">
        <f>IF(Z$5="","",Z$5)</f>
        <v>46623</v>
      </c>
      <c r="AA6" s="142" t="n">
        <f>IF(AA$5="","",AA$5)</f>
        <v>46624</v>
      </c>
      <c r="AB6" s="142" t="n">
        <f>IF(AB$5="","",AB$5)</f>
        <v>46625</v>
      </c>
      <c r="AC6" s="142" t="n">
        <f>IF(AC$5="","",AC$5)</f>
        <v>46626</v>
      </c>
      <c r="AD6" s="142" t="n">
        <f>IF(AD$5="","",AD$5)</f>
        <v>46627</v>
      </c>
      <c r="AE6" s="142" t="n">
        <f>IF(AE$5="","",AE$5)</f>
        <v>46628</v>
      </c>
      <c r="AF6" s="142" t="n">
        <f>IF(AF$5="","",AF$5)</f>
        <v>46629</v>
      </c>
      <c r="AG6" s="142" t="n">
        <f>IF(AG$5="","",AG$5)</f>
        <v>46630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46600</v>
      </c>
      <c r="D19" s="142" t="n">
        <f>IF(D$5="","",D$5)</f>
        <v>46601</v>
      </c>
      <c r="E19" s="142" t="n">
        <f>IF(E$5="","",E$5)</f>
        <v>46602</v>
      </c>
      <c r="F19" s="142" t="n">
        <f>IF(F$5="","",F$5)</f>
        <v>46603</v>
      </c>
      <c r="G19" s="142" t="n">
        <f>IF(G$5="","",G$5)</f>
        <v>46604</v>
      </c>
      <c r="H19" s="142" t="n">
        <f>IF(H$5="","",H$5)</f>
        <v>46605</v>
      </c>
      <c r="I19" s="142" t="n">
        <f>IF(I$5="","",I$5)</f>
        <v>46606</v>
      </c>
      <c r="J19" s="142" t="n">
        <f>IF(J$5="","",J$5)</f>
        <v>46607</v>
      </c>
      <c r="K19" s="142" t="n">
        <f>IF(K$5="","",K$5)</f>
        <v>46608</v>
      </c>
      <c r="L19" s="142" t="n">
        <f>IF(L$5="","",L$5)</f>
        <v>46609</v>
      </c>
      <c r="M19" s="142" t="n">
        <f>IF(M$5="","",M$5)</f>
        <v>46610</v>
      </c>
      <c r="N19" s="142" t="n">
        <f>IF(N$5="","",N$5)</f>
        <v>46611</v>
      </c>
      <c r="O19" s="142" t="n">
        <f>IF(O$5="","",O$5)</f>
        <v>46612</v>
      </c>
      <c r="P19" s="142" t="n">
        <f>IF(P$5="","",P$5)</f>
        <v>46613</v>
      </c>
      <c r="Q19" s="142" t="n">
        <f>IF(Q$5="","",Q$5)</f>
        <v>46614</v>
      </c>
      <c r="R19" s="142" t="n">
        <f>IF(R$5="","",R$5)</f>
        <v>46615</v>
      </c>
      <c r="S19" s="142" t="n">
        <f>IF(S$5="","",S$5)</f>
        <v>46616</v>
      </c>
      <c r="T19" s="142" t="n">
        <f>IF(T$5="","",T$5)</f>
        <v>46617</v>
      </c>
      <c r="U19" s="142" t="n">
        <f>IF(U$5="","",U$5)</f>
        <v>46618</v>
      </c>
      <c r="V19" s="142" t="n">
        <f>IF(V$5="","",V$5)</f>
        <v>46619</v>
      </c>
      <c r="W19" s="142" t="n">
        <f>IF(W$5="","",W$5)</f>
        <v>46620</v>
      </c>
      <c r="X19" s="142" t="n">
        <f>IF(X$5="","",X$5)</f>
        <v>46621</v>
      </c>
      <c r="Y19" s="142" t="n">
        <f>IF(Y$5="","",Y$5)</f>
        <v>46622</v>
      </c>
      <c r="Z19" s="142" t="n">
        <f>IF(Z$5="","",Z$5)</f>
        <v>46623</v>
      </c>
      <c r="AA19" s="142" t="n">
        <f>IF(AA$5="","",AA$5)</f>
        <v>46624</v>
      </c>
      <c r="AB19" s="142" t="n">
        <f>IF(AB$5="","",AB$5)</f>
        <v>46625</v>
      </c>
      <c r="AC19" s="142" t="n">
        <f>IF(AC$5="","",AC$5)</f>
        <v>46626</v>
      </c>
      <c r="AD19" s="142" t="n">
        <f>IF(AD$5="","",AD$5)</f>
        <v>46627</v>
      </c>
      <c r="AE19" s="142" t="n">
        <f>IF(AE$5="","",AE$5)</f>
        <v>46628</v>
      </c>
      <c r="AF19" s="142" t="n">
        <f>IF(AF$5="","",AF$5)</f>
        <v>46629</v>
      </c>
      <c r="AG19" s="142" t="n">
        <f>IF(AG$5="","",AG$5)</f>
        <v>46630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46600</v>
      </c>
      <c r="D30" s="48" t="n">
        <f>IF(D$5="","",D$5)</f>
        <v>46601</v>
      </c>
      <c r="E30" s="48" t="n">
        <f>IF(E$5="","",E$5)</f>
        <v>46602</v>
      </c>
      <c r="F30" s="48" t="n">
        <f>IF(F$5="","",F$5)</f>
        <v>46603</v>
      </c>
      <c r="G30" s="48" t="n">
        <f>IF(G$5="","",G$5)</f>
        <v>46604</v>
      </c>
      <c r="H30" s="48" t="n">
        <f>IF(H$5="","",H$5)</f>
        <v>46605</v>
      </c>
      <c r="I30" s="48" t="n">
        <f>IF(I$5="","",I$5)</f>
        <v>46606</v>
      </c>
      <c r="J30" s="48" t="n">
        <f>IF(J$5="","",J$5)</f>
        <v>46607</v>
      </c>
      <c r="K30" s="48" t="n">
        <f>IF(K$5="","",K$5)</f>
        <v>46608</v>
      </c>
      <c r="L30" s="48" t="n">
        <f>IF(L$5="","",L$5)</f>
        <v>46609</v>
      </c>
      <c r="M30" s="48" t="n">
        <f>IF(M$5="","",M$5)</f>
        <v>46610</v>
      </c>
      <c r="N30" s="48" t="n">
        <f>IF(N$5="","",N$5)</f>
        <v>46611</v>
      </c>
      <c r="O30" s="48" t="n">
        <f>IF(O$5="","",O$5)</f>
        <v>46612</v>
      </c>
      <c r="P30" s="48" t="n">
        <f>IF(P$5="","",P$5)</f>
        <v>46613</v>
      </c>
      <c r="Q30" s="48" t="n">
        <f>IF(Q$5="","",Q$5)</f>
        <v>46614</v>
      </c>
      <c r="R30" s="48" t="n">
        <f>IF(R$5="","",R$5)</f>
        <v>46615</v>
      </c>
      <c r="S30" s="48" t="n">
        <f>IF(S$5="","",S$5)</f>
        <v>46616</v>
      </c>
      <c r="T30" s="48" t="n">
        <f>IF(T$5="","",T$5)</f>
        <v>46617</v>
      </c>
      <c r="U30" s="48" t="n">
        <f>IF(U$5="","",U$5)</f>
        <v>46618</v>
      </c>
      <c r="V30" s="48" t="n">
        <f>IF(V$5="","",V$5)</f>
        <v>46619</v>
      </c>
      <c r="W30" s="48" t="n">
        <f>IF(W$5="","",W$5)</f>
        <v>46620</v>
      </c>
      <c r="X30" s="48" t="n">
        <f>IF(X$5="","",X$5)</f>
        <v>46621</v>
      </c>
      <c r="Y30" s="48" t="n">
        <f>IF(Y$5="","",Y$5)</f>
        <v>46622</v>
      </c>
      <c r="Z30" s="48" t="n">
        <f>IF(Z$5="","",Z$5)</f>
        <v>46623</v>
      </c>
      <c r="AA30" s="48" t="n">
        <f>IF(AA$5="","",AA$5)</f>
        <v>46624</v>
      </c>
      <c r="AB30" s="48" t="n">
        <f>IF(AB$5="","",AB$5)</f>
        <v>46625</v>
      </c>
      <c r="AC30" s="48" t="n">
        <f>IF(AC$5="","",AC$5)</f>
        <v>46626</v>
      </c>
      <c r="AD30" s="48" t="n">
        <f>IF(AD$5="","",AD$5)</f>
        <v>46627</v>
      </c>
      <c r="AE30" s="48" t="n">
        <f>IF(AE$5="","",AE$5)</f>
        <v>46628</v>
      </c>
      <c r="AF30" s="48" t="n">
        <f>IF(AF$5="","",AF$5)</f>
        <v>46629</v>
      </c>
      <c r="AG30" s="48" t="n">
        <f>IF(AG$5="","",AG$5)</f>
        <v>46630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46600</v>
      </c>
      <c r="D31" s="142" t="n">
        <f>IF(D$5="","",D$5)</f>
        <v>46601</v>
      </c>
      <c r="E31" s="142" t="n">
        <f>IF(E$5="","",E$5)</f>
        <v>46602</v>
      </c>
      <c r="F31" s="142" t="n">
        <f>IF(F$5="","",F$5)</f>
        <v>46603</v>
      </c>
      <c r="G31" s="142" t="n">
        <f>IF(G$5="","",G$5)</f>
        <v>46604</v>
      </c>
      <c r="H31" s="142" t="n">
        <f>IF(H$5="","",H$5)</f>
        <v>46605</v>
      </c>
      <c r="I31" s="142" t="n">
        <f>IF(I$5="","",I$5)</f>
        <v>46606</v>
      </c>
      <c r="J31" s="142" t="n">
        <f>IF(J$5="","",J$5)</f>
        <v>46607</v>
      </c>
      <c r="K31" s="142" t="n">
        <f>IF(K$5="","",K$5)</f>
        <v>46608</v>
      </c>
      <c r="L31" s="142" t="n">
        <f>IF(L$5="","",L$5)</f>
        <v>46609</v>
      </c>
      <c r="M31" s="142" t="n">
        <f>IF(M$5="","",M$5)</f>
        <v>46610</v>
      </c>
      <c r="N31" s="142" t="n">
        <f>IF(N$5="","",N$5)</f>
        <v>46611</v>
      </c>
      <c r="O31" s="142" t="n">
        <f>IF(O$5="","",O$5)</f>
        <v>46612</v>
      </c>
      <c r="P31" s="142" t="n">
        <f>IF(P$5="","",P$5)</f>
        <v>46613</v>
      </c>
      <c r="Q31" s="142" t="n">
        <f>IF(Q$5="","",Q$5)</f>
        <v>46614</v>
      </c>
      <c r="R31" s="142" t="n">
        <f>IF(R$5="","",R$5)</f>
        <v>46615</v>
      </c>
      <c r="S31" s="142" t="n">
        <f>IF(S$5="","",S$5)</f>
        <v>46616</v>
      </c>
      <c r="T31" s="142" t="n">
        <f>IF(T$5="","",T$5)</f>
        <v>46617</v>
      </c>
      <c r="U31" s="142" t="n">
        <f>IF(U$5="","",U$5)</f>
        <v>46618</v>
      </c>
      <c r="V31" s="142" t="n">
        <f>IF(V$5="","",V$5)</f>
        <v>46619</v>
      </c>
      <c r="W31" s="142" t="n">
        <f>IF(W$5="","",W$5)</f>
        <v>46620</v>
      </c>
      <c r="X31" s="142" t="n">
        <f>IF(X$5="","",X$5)</f>
        <v>46621</v>
      </c>
      <c r="Y31" s="142" t="n">
        <f>IF(Y$5="","",Y$5)</f>
        <v>46622</v>
      </c>
      <c r="Z31" s="142" t="n">
        <f>IF(Z$5="","",Z$5)</f>
        <v>46623</v>
      </c>
      <c r="AA31" s="142" t="n">
        <f>IF(AA$5="","",AA$5)</f>
        <v>46624</v>
      </c>
      <c r="AB31" s="142" t="n">
        <f>IF(AB$5="","",AB$5)</f>
        <v>46625</v>
      </c>
      <c r="AC31" s="142" t="n">
        <f>IF(AC$5="","",AC$5)</f>
        <v>46626</v>
      </c>
      <c r="AD31" s="142" t="n">
        <f>IF(AD$5="","",AD$5)</f>
        <v>46627</v>
      </c>
      <c r="AE31" s="142" t="n">
        <f>IF(AE$5="","",AE$5)</f>
        <v>46628</v>
      </c>
      <c r="AF31" s="142" t="n">
        <f>IF(AF$5="","",AF$5)</f>
        <v>46629</v>
      </c>
      <c r="AG31" s="142" t="n">
        <f>IF(AG$5="","",AG$5)</f>
        <v>46630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summary'!$C$4,8,1),DATE('Billable summary'!$C$4,9,0))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36" priority="1">
      <formula>OR(C$5="",WEEKDAY(C$5,2)&gt;5)</formula>
    </cfRule>
    <cfRule type="expression" dxfId="137" priority="2">
      <formula>AND(C$5="",NOT(ISBLANK(C7)))</formula>
    </cfRule>
  </conditionalFormatting>
  <conditionalFormatting sqref="C20:AG25">
    <cfRule type="expression" dxfId="138" priority="3">
      <formula>OR(C$5="",WEEKDAY(C$5,2)&gt;5)</formula>
    </cfRule>
    <cfRule type="expression" dxfId="139" priority="4">
      <formula>AND(C$5="",NOT(ISBLANK(C20)))</formula>
    </cfRule>
  </conditionalFormatting>
  <conditionalFormatting sqref="C32:AG35">
    <cfRule type="expression" dxfId="140" priority="5">
      <formula>OR(C$5="",WEEKDAY(C$5,2)&gt;5)</formula>
    </cfRule>
    <cfRule type="expression" dxfId="141" priority="6">
      <formula>AND(C$5="",NOT(ISBLANK(C32)))</formula>
    </cfRule>
  </conditionalFormatting>
  <conditionalFormatting sqref="I43:K43">
    <cfRule type="expression" dxfId="142" priority="7">
      <formula>AND(ISNUMBER($I$43),$I$43&gt;=$I$44)</formula>
    </cfRule>
    <cfRule type="expression" dxfId="143" priority="8">
      <formula>AND(ISNUMBER($I$43),$I$43&lt;$I$44)</formula>
    </cfRule>
  </conditionalFormatting>
  <conditionalFormatting sqref="B51:AH51">
    <cfRule type="containsText" dxfId="144" priority="9" operator="containsText" text="Check"/>
    <cfRule type="containsText" dxfId="145" priority="10" operator="containsText" text="Invalid"/>
    <cfRule type="containsText" dxfId="146" priority="11" operator="containsText" text="Negative"/>
    <cfRule type="containsText" dxfId="147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summary'!$C$4,9,1),"mmmm yyyy")</f>
        <v>September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summary'!$C$4,10,0)),DATE('Billable summary'!$C$4,9,1),"")</f>
        <v>46631</v>
      </c>
      <c r="D5" s="48" t="n">
        <f>IF(2&lt;=DAY(DATE('Billable summary'!$C$4,10,0)),DATE('Billable summary'!$C$4,9,2),"")</f>
        <v>46632</v>
      </c>
      <c r="E5" s="48" t="n">
        <f>IF(3&lt;=DAY(DATE('Billable summary'!$C$4,10,0)),DATE('Billable summary'!$C$4,9,3),"")</f>
        <v>46633</v>
      </c>
      <c r="F5" s="48" t="n">
        <f>IF(4&lt;=DAY(DATE('Billable summary'!$C$4,10,0)),DATE('Billable summary'!$C$4,9,4),"")</f>
        <v>46634</v>
      </c>
      <c r="G5" s="48" t="n">
        <f>IF(5&lt;=DAY(DATE('Billable summary'!$C$4,10,0)),DATE('Billable summary'!$C$4,9,5),"")</f>
        <v>46635</v>
      </c>
      <c r="H5" s="48" t="n">
        <f>IF(6&lt;=DAY(DATE('Billable summary'!$C$4,10,0)),DATE('Billable summary'!$C$4,9,6),"")</f>
        <v>46636</v>
      </c>
      <c r="I5" s="48" t="n">
        <f>IF(7&lt;=DAY(DATE('Billable summary'!$C$4,10,0)),DATE('Billable summary'!$C$4,9,7),"")</f>
        <v>46637</v>
      </c>
      <c r="J5" s="48" t="n">
        <f>IF(8&lt;=DAY(DATE('Billable summary'!$C$4,10,0)),DATE('Billable summary'!$C$4,9,8),"")</f>
        <v>46638</v>
      </c>
      <c r="K5" s="48" t="n">
        <f>IF(9&lt;=DAY(DATE('Billable summary'!$C$4,10,0)),DATE('Billable summary'!$C$4,9,9),"")</f>
        <v>46639</v>
      </c>
      <c r="L5" s="48" t="n">
        <f>IF(10&lt;=DAY(DATE('Billable summary'!$C$4,10,0)),DATE('Billable summary'!$C$4,9,10),"")</f>
        <v>46640</v>
      </c>
      <c r="M5" s="48" t="n">
        <f>IF(11&lt;=DAY(DATE('Billable summary'!$C$4,10,0)),DATE('Billable summary'!$C$4,9,11),"")</f>
        <v>46641</v>
      </c>
      <c r="N5" s="48" t="n">
        <f>IF(12&lt;=DAY(DATE('Billable summary'!$C$4,10,0)),DATE('Billable summary'!$C$4,9,12),"")</f>
        <v>46642</v>
      </c>
      <c r="O5" s="48" t="n">
        <f>IF(13&lt;=DAY(DATE('Billable summary'!$C$4,10,0)),DATE('Billable summary'!$C$4,9,13),"")</f>
        <v>46643</v>
      </c>
      <c r="P5" s="48" t="n">
        <f>IF(14&lt;=DAY(DATE('Billable summary'!$C$4,10,0)),DATE('Billable summary'!$C$4,9,14),"")</f>
        <v>46644</v>
      </c>
      <c r="Q5" s="48" t="n">
        <f>IF(15&lt;=DAY(DATE('Billable summary'!$C$4,10,0)),DATE('Billable summary'!$C$4,9,15),"")</f>
        <v>46645</v>
      </c>
      <c r="R5" s="48" t="n">
        <f>IF(16&lt;=DAY(DATE('Billable summary'!$C$4,10,0)),DATE('Billable summary'!$C$4,9,16),"")</f>
        <v>46646</v>
      </c>
      <c r="S5" s="48" t="n">
        <f>IF(17&lt;=DAY(DATE('Billable summary'!$C$4,10,0)),DATE('Billable summary'!$C$4,9,17),"")</f>
        <v>46647</v>
      </c>
      <c r="T5" s="48" t="n">
        <f>IF(18&lt;=DAY(DATE('Billable summary'!$C$4,10,0)),DATE('Billable summary'!$C$4,9,18),"")</f>
        <v>46648</v>
      </c>
      <c r="U5" s="48" t="n">
        <f>IF(19&lt;=DAY(DATE('Billable summary'!$C$4,10,0)),DATE('Billable summary'!$C$4,9,19),"")</f>
        <v>46649</v>
      </c>
      <c r="V5" s="48" t="n">
        <f>IF(20&lt;=DAY(DATE('Billable summary'!$C$4,10,0)),DATE('Billable summary'!$C$4,9,20),"")</f>
        <v>46650</v>
      </c>
      <c r="W5" s="48" t="n">
        <f>IF(21&lt;=DAY(DATE('Billable summary'!$C$4,10,0)),DATE('Billable summary'!$C$4,9,21),"")</f>
        <v>46651</v>
      </c>
      <c r="X5" s="48" t="n">
        <f>IF(22&lt;=DAY(DATE('Billable summary'!$C$4,10,0)),DATE('Billable summary'!$C$4,9,22),"")</f>
        <v>46652</v>
      </c>
      <c r="Y5" s="48" t="n">
        <f>IF(23&lt;=DAY(DATE('Billable summary'!$C$4,10,0)),DATE('Billable summary'!$C$4,9,23),"")</f>
        <v>46653</v>
      </c>
      <c r="Z5" s="48" t="n">
        <f>IF(24&lt;=DAY(DATE('Billable summary'!$C$4,10,0)),DATE('Billable summary'!$C$4,9,24),"")</f>
        <v>46654</v>
      </c>
      <c r="AA5" s="48" t="n">
        <f>IF(25&lt;=DAY(DATE('Billable summary'!$C$4,10,0)),DATE('Billable summary'!$C$4,9,25),"")</f>
        <v>46655</v>
      </c>
      <c r="AB5" s="48" t="n">
        <f>IF(26&lt;=DAY(DATE('Billable summary'!$C$4,10,0)),DATE('Billable summary'!$C$4,9,26),"")</f>
        <v>46656</v>
      </c>
      <c r="AC5" s="48" t="n">
        <f>IF(27&lt;=DAY(DATE('Billable summary'!$C$4,10,0)),DATE('Billable summary'!$C$4,9,27),"")</f>
        <v>46657</v>
      </c>
      <c r="AD5" s="48" t="n">
        <f>IF(28&lt;=DAY(DATE('Billable summary'!$C$4,10,0)),DATE('Billable summary'!$C$4,9,28),"")</f>
        <v>46658</v>
      </c>
      <c r="AE5" s="48" t="n">
        <f>IF(29&lt;=DAY(DATE('Billable summary'!$C$4,10,0)),DATE('Billable summary'!$C$4,9,29),"")</f>
        <v>46659</v>
      </c>
      <c r="AF5" s="48" t="n">
        <f>IF(30&lt;=DAY(DATE('Billable summary'!$C$4,10,0)),DATE('Billable summary'!$C$4,9,30),"")</f>
        <v>46660</v>
      </c>
      <c r="AG5" s="48" t="str">
        <f>IF(31&lt;=DAY(DATE('Billable summary'!$C$4,10,0)),DATE('Billable summary'!$C$4,9,31),"")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46631</v>
      </c>
      <c r="D6" s="142" t="n">
        <f>IF(D$5="","",D$5)</f>
        <v>46632</v>
      </c>
      <c r="E6" s="142" t="n">
        <f>IF(E$5="","",E$5)</f>
        <v>46633</v>
      </c>
      <c r="F6" s="142" t="n">
        <f>IF(F$5="","",F$5)</f>
        <v>46634</v>
      </c>
      <c r="G6" s="142" t="n">
        <f>IF(G$5="","",G$5)</f>
        <v>46635</v>
      </c>
      <c r="H6" s="142" t="n">
        <f>IF(H$5="","",H$5)</f>
        <v>46636</v>
      </c>
      <c r="I6" s="142" t="n">
        <f>IF(I$5="","",I$5)</f>
        <v>46637</v>
      </c>
      <c r="J6" s="142" t="n">
        <f>IF(J$5="","",J$5)</f>
        <v>46638</v>
      </c>
      <c r="K6" s="142" t="n">
        <f>IF(K$5="","",K$5)</f>
        <v>46639</v>
      </c>
      <c r="L6" s="142" t="n">
        <f>IF(L$5="","",L$5)</f>
        <v>46640</v>
      </c>
      <c r="M6" s="142" t="n">
        <f>IF(M$5="","",M$5)</f>
        <v>46641</v>
      </c>
      <c r="N6" s="142" t="n">
        <f>IF(N$5="","",N$5)</f>
        <v>46642</v>
      </c>
      <c r="O6" s="142" t="n">
        <f>IF(O$5="","",O$5)</f>
        <v>46643</v>
      </c>
      <c r="P6" s="142" t="n">
        <f>IF(P$5="","",P$5)</f>
        <v>46644</v>
      </c>
      <c r="Q6" s="142" t="n">
        <f>IF(Q$5="","",Q$5)</f>
        <v>46645</v>
      </c>
      <c r="R6" s="142" t="n">
        <f>IF(R$5="","",R$5)</f>
        <v>46646</v>
      </c>
      <c r="S6" s="142" t="n">
        <f>IF(S$5="","",S$5)</f>
        <v>46647</v>
      </c>
      <c r="T6" s="142" t="n">
        <f>IF(T$5="","",T$5)</f>
        <v>46648</v>
      </c>
      <c r="U6" s="142" t="n">
        <f>IF(U$5="","",U$5)</f>
        <v>46649</v>
      </c>
      <c r="V6" s="142" t="n">
        <f>IF(V$5="","",V$5)</f>
        <v>46650</v>
      </c>
      <c r="W6" s="142" t="n">
        <f>IF(W$5="","",W$5)</f>
        <v>46651</v>
      </c>
      <c r="X6" s="142" t="n">
        <f>IF(X$5="","",X$5)</f>
        <v>46652</v>
      </c>
      <c r="Y6" s="142" t="n">
        <f>IF(Y$5="","",Y$5)</f>
        <v>46653</v>
      </c>
      <c r="Z6" s="142" t="n">
        <f>IF(Z$5="","",Z$5)</f>
        <v>46654</v>
      </c>
      <c r="AA6" s="142" t="n">
        <f>IF(AA$5="","",AA$5)</f>
        <v>46655</v>
      </c>
      <c r="AB6" s="142" t="n">
        <f>IF(AB$5="","",AB$5)</f>
        <v>46656</v>
      </c>
      <c r="AC6" s="142" t="n">
        <f>IF(AC$5="","",AC$5)</f>
        <v>46657</v>
      </c>
      <c r="AD6" s="142" t="n">
        <f>IF(AD$5="","",AD$5)</f>
        <v>46658</v>
      </c>
      <c r="AE6" s="142" t="n">
        <f>IF(AE$5="","",AE$5)</f>
        <v>46659</v>
      </c>
      <c r="AF6" s="142" t="n">
        <f>IF(AF$5="","",AF$5)</f>
        <v>46660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46631</v>
      </c>
      <c r="D19" s="142" t="n">
        <f>IF(D$5="","",D$5)</f>
        <v>46632</v>
      </c>
      <c r="E19" s="142" t="n">
        <f>IF(E$5="","",E$5)</f>
        <v>46633</v>
      </c>
      <c r="F19" s="142" t="n">
        <f>IF(F$5="","",F$5)</f>
        <v>46634</v>
      </c>
      <c r="G19" s="142" t="n">
        <f>IF(G$5="","",G$5)</f>
        <v>46635</v>
      </c>
      <c r="H19" s="142" t="n">
        <f>IF(H$5="","",H$5)</f>
        <v>46636</v>
      </c>
      <c r="I19" s="142" t="n">
        <f>IF(I$5="","",I$5)</f>
        <v>46637</v>
      </c>
      <c r="J19" s="142" t="n">
        <f>IF(J$5="","",J$5)</f>
        <v>46638</v>
      </c>
      <c r="K19" s="142" t="n">
        <f>IF(K$5="","",K$5)</f>
        <v>46639</v>
      </c>
      <c r="L19" s="142" t="n">
        <f>IF(L$5="","",L$5)</f>
        <v>46640</v>
      </c>
      <c r="M19" s="142" t="n">
        <f>IF(M$5="","",M$5)</f>
        <v>46641</v>
      </c>
      <c r="N19" s="142" t="n">
        <f>IF(N$5="","",N$5)</f>
        <v>46642</v>
      </c>
      <c r="O19" s="142" t="n">
        <f>IF(O$5="","",O$5)</f>
        <v>46643</v>
      </c>
      <c r="P19" s="142" t="n">
        <f>IF(P$5="","",P$5)</f>
        <v>46644</v>
      </c>
      <c r="Q19" s="142" t="n">
        <f>IF(Q$5="","",Q$5)</f>
        <v>46645</v>
      </c>
      <c r="R19" s="142" t="n">
        <f>IF(R$5="","",R$5)</f>
        <v>46646</v>
      </c>
      <c r="S19" s="142" t="n">
        <f>IF(S$5="","",S$5)</f>
        <v>46647</v>
      </c>
      <c r="T19" s="142" t="n">
        <f>IF(T$5="","",T$5)</f>
        <v>46648</v>
      </c>
      <c r="U19" s="142" t="n">
        <f>IF(U$5="","",U$5)</f>
        <v>46649</v>
      </c>
      <c r="V19" s="142" t="n">
        <f>IF(V$5="","",V$5)</f>
        <v>46650</v>
      </c>
      <c r="W19" s="142" t="n">
        <f>IF(W$5="","",W$5)</f>
        <v>46651</v>
      </c>
      <c r="X19" s="142" t="n">
        <f>IF(X$5="","",X$5)</f>
        <v>46652</v>
      </c>
      <c r="Y19" s="142" t="n">
        <f>IF(Y$5="","",Y$5)</f>
        <v>46653</v>
      </c>
      <c r="Z19" s="142" t="n">
        <f>IF(Z$5="","",Z$5)</f>
        <v>46654</v>
      </c>
      <c r="AA19" s="142" t="n">
        <f>IF(AA$5="","",AA$5)</f>
        <v>46655</v>
      </c>
      <c r="AB19" s="142" t="n">
        <f>IF(AB$5="","",AB$5)</f>
        <v>46656</v>
      </c>
      <c r="AC19" s="142" t="n">
        <f>IF(AC$5="","",AC$5)</f>
        <v>46657</v>
      </c>
      <c r="AD19" s="142" t="n">
        <f>IF(AD$5="","",AD$5)</f>
        <v>46658</v>
      </c>
      <c r="AE19" s="142" t="n">
        <f>IF(AE$5="","",AE$5)</f>
        <v>46659</v>
      </c>
      <c r="AF19" s="142" t="n">
        <f>IF(AF$5="","",AF$5)</f>
        <v>46660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46631</v>
      </c>
      <c r="D30" s="48" t="n">
        <f>IF(D$5="","",D$5)</f>
        <v>46632</v>
      </c>
      <c r="E30" s="48" t="n">
        <f>IF(E$5="","",E$5)</f>
        <v>46633</v>
      </c>
      <c r="F30" s="48" t="n">
        <f>IF(F$5="","",F$5)</f>
        <v>46634</v>
      </c>
      <c r="G30" s="48" t="n">
        <f>IF(G$5="","",G$5)</f>
        <v>46635</v>
      </c>
      <c r="H30" s="48" t="n">
        <f>IF(H$5="","",H$5)</f>
        <v>46636</v>
      </c>
      <c r="I30" s="48" t="n">
        <f>IF(I$5="","",I$5)</f>
        <v>46637</v>
      </c>
      <c r="J30" s="48" t="n">
        <f>IF(J$5="","",J$5)</f>
        <v>46638</v>
      </c>
      <c r="K30" s="48" t="n">
        <f>IF(K$5="","",K$5)</f>
        <v>46639</v>
      </c>
      <c r="L30" s="48" t="n">
        <f>IF(L$5="","",L$5)</f>
        <v>46640</v>
      </c>
      <c r="M30" s="48" t="n">
        <f>IF(M$5="","",M$5)</f>
        <v>46641</v>
      </c>
      <c r="N30" s="48" t="n">
        <f>IF(N$5="","",N$5)</f>
        <v>46642</v>
      </c>
      <c r="O30" s="48" t="n">
        <f>IF(O$5="","",O$5)</f>
        <v>46643</v>
      </c>
      <c r="P30" s="48" t="n">
        <f>IF(P$5="","",P$5)</f>
        <v>46644</v>
      </c>
      <c r="Q30" s="48" t="n">
        <f>IF(Q$5="","",Q$5)</f>
        <v>46645</v>
      </c>
      <c r="R30" s="48" t="n">
        <f>IF(R$5="","",R$5)</f>
        <v>46646</v>
      </c>
      <c r="S30" s="48" t="n">
        <f>IF(S$5="","",S$5)</f>
        <v>46647</v>
      </c>
      <c r="T30" s="48" t="n">
        <f>IF(T$5="","",T$5)</f>
        <v>46648</v>
      </c>
      <c r="U30" s="48" t="n">
        <f>IF(U$5="","",U$5)</f>
        <v>46649</v>
      </c>
      <c r="V30" s="48" t="n">
        <f>IF(V$5="","",V$5)</f>
        <v>46650</v>
      </c>
      <c r="W30" s="48" t="n">
        <f>IF(W$5="","",W$5)</f>
        <v>46651</v>
      </c>
      <c r="X30" s="48" t="n">
        <f>IF(X$5="","",X$5)</f>
        <v>46652</v>
      </c>
      <c r="Y30" s="48" t="n">
        <f>IF(Y$5="","",Y$5)</f>
        <v>46653</v>
      </c>
      <c r="Z30" s="48" t="n">
        <f>IF(Z$5="","",Z$5)</f>
        <v>46654</v>
      </c>
      <c r="AA30" s="48" t="n">
        <f>IF(AA$5="","",AA$5)</f>
        <v>46655</v>
      </c>
      <c r="AB30" s="48" t="n">
        <f>IF(AB$5="","",AB$5)</f>
        <v>46656</v>
      </c>
      <c r="AC30" s="48" t="n">
        <f>IF(AC$5="","",AC$5)</f>
        <v>46657</v>
      </c>
      <c r="AD30" s="48" t="n">
        <f>IF(AD$5="","",AD$5)</f>
        <v>46658</v>
      </c>
      <c r="AE30" s="48" t="n">
        <f>IF(AE$5="","",AE$5)</f>
        <v>46659</v>
      </c>
      <c r="AF30" s="48" t="n">
        <f>IF(AF$5="","",AF$5)</f>
        <v>46660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46631</v>
      </c>
      <c r="D31" s="142" t="n">
        <f>IF(D$5="","",D$5)</f>
        <v>46632</v>
      </c>
      <c r="E31" s="142" t="n">
        <f>IF(E$5="","",E$5)</f>
        <v>46633</v>
      </c>
      <c r="F31" s="142" t="n">
        <f>IF(F$5="","",F$5)</f>
        <v>46634</v>
      </c>
      <c r="G31" s="142" t="n">
        <f>IF(G$5="","",G$5)</f>
        <v>46635</v>
      </c>
      <c r="H31" s="142" t="n">
        <f>IF(H$5="","",H$5)</f>
        <v>46636</v>
      </c>
      <c r="I31" s="142" t="n">
        <f>IF(I$5="","",I$5)</f>
        <v>46637</v>
      </c>
      <c r="J31" s="142" t="n">
        <f>IF(J$5="","",J$5)</f>
        <v>46638</v>
      </c>
      <c r="K31" s="142" t="n">
        <f>IF(K$5="","",K$5)</f>
        <v>46639</v>
      </c>
      <c r="L31" s="142" t="n">
        <f>IF(L$5="","",L$5)</f>
        <v>46640</v>
      </c>
      <c r="M31" s="142" t="n">
        <f>IF(M$5="","",M$5)</f>
        <v>46641</v>
      </c>
      <c r="N31" s="142" t="n">
        <f>IF(N$5="","",N$5)</f>
        <v>46642</v>
      </c>
      <c r="O31" s="142" t="n">
        <f>IF(O$5="","",O$5)</f>
        <v>46643</v>
      </c>
      <c r="P31" s="142" t="n">
        <f>IF(P$5="","",P$5)</f>
        <v>46644</v>
      </c>
      <c r="Q31" s="142" t="n">
        <f>IF(Q$5="","",Q$5)</f>
        <v>46645</v>
      </c>
      <c r="R31" s="142" t="n">
        <f>IF(R$5="","",R$5)</f>
        <v>46646</v>
      </c>
      <c r="S31" s="142" t="n">
        <f>IF(S$5="","",S$5)</f>
        <v>46647</v>
      </c>
      <c r="T31" s="142" t="n">
        <f>IF(T$5="","",T$5)</f>
        <v>46648</v>
      </c>
      <c r="U31" s="142" t="n">
        <f>IF(U$5="","",U$5)</f>
        <v>46649</v>
      </c>
      <c r="V31" s="142" t="n">
        <f>IF(V$5="","",V$5)</f>
        <v>46650</v>
      </c>
      <c r="W31" s="142" t="n">
        <f>IF(W$5="","",W$5)</f>
        <v>46651</v>
      </c>
      <c r="X31" s="142" t="n">
        <f>IF(X$5="","",X$5)</f>
        <v>46652</v>
      </c>
      <c r="Y31" s="142" t="n">
        <f>IF(Y$5="","",Y$5)</f>
        <v>46653</v>
      </c>
      <c r="Z31" s="142" t="n">
        <f>IF(Z$5="","",Z$5)</f>
        <v>46654</v>
      </c>
      <c r="AA31" s="142" t="n">
        <f>IF(AA$5="","",AA$5)</f>
        <v>46655</v>
      </c>
      <c r="AB31" s="142" t="n">
        <f>IF(AB$5="","",AB$5)</f>
        <v>46656</v>
      </c>
      <c r="AC31" s="142" t="n">
        <f>IF(AC$5="","",AC$5)</f>
        <v>46657</v>
      </c>
      <c r="AD31" s="142" t="n">
        <f>IF(AD$5="","",AD$5)</f>
        <v>46658</v>
      </c>
      <c r="AE31" s="142" t="n">
        <f>IF(AE$5="","",AE$5)</f>
        <v>46659</v>
      </c>
      <c r="AF31" s="142" t="n">
        <f>IF(AF$5="","",AF$5)</f>
        <v>46660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summary'!$C$4,9,1),DATE('Billable summary'!$C$4,10,0))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48" priority="1">
      <formula>OR(C$5="",WEEKDAY(C$5,2)&gt;5)</formula>
    </cfRule>
    <cfRule type="expression" dxfId="149" priority="2">
      <formula>AND(C$5="",NOT(ISBLANK(C7)))</formula>
    </cfRule>
  </conditionalFormatting>
  <conditionalFormatting sqref="C20:AG25">
    <cfRule type="expression" dxfId="150" priority="3">
      <formula>OR(C$5="",WEEKDAY(C$5,2)&gt;5)</formula>
    </cfRule>
    <cfRule type="expression" dxfId="151" priority="4">
      <formula>AND(C$5="",NOT(ISBLANK(C20)))</formula>
    </cfRule>
  </conditionalFormatting>
  <conditionalFormatting sqref="C32:AG35">
    <cfRule type="expression" dxfId="152" priority="5">
      <formula>OR(C$5="",WEEKDAY(C$5,2)&gt;5)</formula>
    </cfRule>
    <cfRule type="expression" dxfId="153" priority="6">
      <formula>AND(C$5="",NOT(ISBLANK(C32)))</formula>
    </cfRule>
  </conditionalFormatting>
  <conditionalFormatting sqref="I43:K43">
    <cfRule type="expression" dxfId="154" priority="7">
      <formula>AND(ISNUMBER($I$43),$I$43&gt;=$I$44)</formula>
    </cfRule>
    <cfRule type="expression" dxfId="155" priority="8">
      <formula>AND(ISNUMBER($I$43),$I$43&lt;$I$44)</formula>
    </cfRule>
  </conditionalFormatting>
  <conditionalFormatting sqref="B51:AH51">
    <cfRule type="containsText" dxfId="156" priority="9" operator="containsText" text="Check"/>
    <cfRule type="containsText" dxfId="157" priority="10" operator="containsText" text="Invalid"/>
    <cfRule type="containsText" dxfId="158" priority="11" operator="containsText" text="Negative"/>
    <cfRule type="containsText" dxfId="159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summary'!$C$4,10,1),"mmmm yyyy")</f>
        <v>October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summary'!$C$4,11,0)),DATE('Billable summary'!$C$4,10,1),"")</f>
        <v>46661</v>
      </c>
      <c r="D5" s="48" t="n">
        <f>IF(2&lt;=DAY(DATE('Billable summary'!$C$4,11,0)),DATE('Billable summary'!$C$4,10,2),"")</f>
        <v>46662</v>
      </c>
      <c r="E5" s="48" t="n">
        <f>IF(3&lt;=DAY(DATE('Billable summary'!$C$4,11,0)),DATE('Billable summary'!$C$4,10,3),"")</f>
        <v>46663</v>
      </c>
      <c r="F5" s="48" t="n">
        <f>IF(4&lt;=DAY(DATE('Billable summary'!$C$4,11,0)),DATE('Billable summary'!$C$4,10,4),"")</f>
        <v>46664</v>
      </c>
      <c r="G5" s="48" t="n">
        <f>IF(5&lt;=DAY(DATE('Billable summary'!$C$4,11,0)),DATE('Billable summary'!$C$4,10,5),"")</f>
        <v>46665</v>
      </c>
      <c r="H5" s="48" t="n">
        <f>IF(6&lt;=DAY(DATE('Billable summary'!$C$4,11,0)),DATE('Billable summary'!$C$4,10,6),"")</f>
        <v>46666</v>
      </c>
      <c r="I5" s="48" t="n">
        <f>IF(7&lt;=DAY(DATE('Billable summary'!$C$4,11,0)),DATE('Billable summary'!$C$4,10,7),"")</f>
        <v>46667</v>
      </c>
      <c r="J5" s="48" t="n">
        <f>IF(8&lt;=DAY(DATE('Billable summary'!$C$4,11,0)),DATE('Billable summary'!$C$4,10,8),"")</f>
        <v>46668</v>
      </c>
      <c r="K5" s="48" t="n">
        <f>IF(9&lt;=DAY(DATE('Billable summary'!$C$4,11,0)),DATE('Billable summary'!$C$4,10,9),"")</f>
        <v>46669</v>
      </c>
      <c r="L5" s="48" t="n">
        <f>IF(10&lt;=DAY(DATE('Billable summary'!$C$4,11,0)),DATE('Billable summary'!$C$4,10,10),"")</f>
        <v>46670</v>
      </c>
      <c r="M5" s="48" t="n">
        <f>IF(11&lt;=DAY(DATE('Billable summary'!$C$4,11,0)),DATE('Billable summary'!$C$4,10,11),"")</f>
        <v>46671</v>
      </c>
      <c r="N5" s="48" t="n">
        <f>IF(12&lt;=DAY(DATE('Billable summary'!$C$4,11,0)),DATE('Billable summary'!$C$4,10,12),"")</f>
        <v>46672</v>
      </c>
      <c r="O5" s="48" t="n">
        <f>IF(13&lt;=DAY(DATE('Billable summary'!$C$4,11,0)),DATE('Billable summary'!$C$4,10,13),"")</f>
        <v>46673</v>
      </c>
      <c r="P5" s="48" t="n">
        <f>IF(14&lt;=DAY(DATE('Billable summary'!$C$4,11,0)),DATE('Billable summary'!$C$4,10,14),"")</f>
        <v>46674</v>
      </c>
      <c r="Q5" s="48" t="n">
        <f>IF(15&lt;=DAY(DATE('Billable summary'!$C$4,11,0)),DATE('Billable summary'!$C$4,10,15),"")</f>
        <v>46675</v>
      </c>
      <c r="R5" s="48" t="n">
        <f>IF(16&lt;=DAY(DATE('Billable summary'!$C$4,11,0)),DATE('Billable summary'!$C$4,10,16),"")</f>
        <v>46676</v>
      </c>
      <c r="S5" s="48" t="n">
        <f>IF(17&lt;=DAY(DATE('Billable summary'!$C$4,11,0)),DATE('Billable summary'!$C$4,10,17),"")</f>
        <v>46677</v>
      </c>
      <c r="T5" s="48" t="n">
        <f>IF(18&lt;=DAY(DATE('Billable summary'!$C$4,11,0)),DATE('Billable summary'!$C$4,10,18),"")</f>
        <v>46678</v>
      </c>
      <c r="U5" s="48" t="n">
        <f>IF(19&lt;=DAY(DATE('Billable summary'!$C$4,11,0)),DATE('Billable summary'!$C$4,10,19),"")</f>
        <v>46679</v>
      </c>
      <c r="V5" s="48" t="n">
        <f>IF(20&lt;=DAY(DATE('Billable summary'!$C$4,11,0)),DATE('Billable summary'!$C$4,10,20),"")</f>
        <v>46680</v>
      </c>
      <c r="W5" s="48" t="n">
        <f>IF(21&lt;=DAY(DATE('Billable summary'!$C$4,11,0)),DATE('Billable summary'!$C$4,10,21),"")</f>
        <v>46681</v>
      </c>
      <c r="X5" s="48" t="n">
        <f>IF(22&lt;=DAY(DATE('Billable summary'!$C$4,11,0)),DATE('Billable summary'!$C$4,10,22),"")</f>
        <v>46682</v>
      </c>
      <c r="Y5" s="48" t="n">
        <f>IF(23&lt;=DAY(DATE('Billable summary'!$C$4,11,0)),DATE('Billable summary'!$C$4,10,23),"")</f>
        <v>46683</v>
      </c>
      <c r="Z5" s="48" t="n">
        <f>IF(24&lt;=DAY(DATE('Billable summary'!$C$4,11,0)),DATE('Billable summary'!$C$4,10,24),"")</f>
        <v>46684</v>
      </c>
      <c r="AA5" s="48" t="n">
        <f>IF(25&lt;=DAY(DATE('Billable summary'!$C$4,11,0)),DATE('Billable summary'!$C$4,10,25),"")</f>
        <v>46685</v>
      </c>
      <c r="AB5" s="48" t="n">
        <f>IF(26&lt;=DAY(DATE('Billable summary'!$C$4,11,0)),DATE('Billable summary'!$C$4,10,26),"")</f>
        <v>46686</v>
      </c>
      <c r="AC5" s="48" t="n">
        <f>IF(27&lt;=DAY(DATE('Billable summary'!$C$4,11,0)),DATE('Billable summary'!$C$4,10,27),"")</f>
        <v>46687</v>
      </c>
      <c r="AD5" s="48" t="n">
        <f>IF(28&lt;=DAY(DATE('Billable summary'!$C$4,11,0)),DATE('Billable summary'!$C$4,10,28),"")</f>
        <v>46688</v>
      </c>
      <c r="AE5" s="48" t="n">
        <f>IF(29&lt;=DAY(DATE('Billable summary'!$C$4,11,0)),DATE('Billable summary'!$C$4,10,29),"")</f>
        <v>46689</v>
      </c>
      <c r="AF5" s="48" t="n">
        <f>IF(30&lt;=DAY(DATE('Billable summary'!$C$4,11,0)),DATE('Billable summary'!$C$4,10,30),"")</f>
        <v>46690</v>
      </c>
      <c r="AG5" s="48" t="n">
        <f>IF(31&lt;=DAY(DATE('Billable summary'!$C$4,11,0)),DATE('Billable summary'!$C$4,10,31),"")</f>
        <v>46691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46661</v>
      </c>
      <c r="D6" s="142" t="n">
        <f>IF(D$5="","",D$5)</f>
        <v>46662</v>
      </c>
      <c r="E6" s="142" t="n">
        <f>IF(E$5="","",E$5)</f>
        <v>46663</v>
      </c>
      <c r="F6" s="142" t="n">
        <f>IF(F$5="","",F$5)</f>
        <v>46664</v>
      </c>
      <c r="G6" s="142" t="n">
        <f>IF(G$5="","",G$5)</f>
        <v>46665</v>
      </c>
      <c r="H6" s="142" t="n">
        <f>IF(H$5="","",H$5)</f>
        <v>46666</v>
      </c>
      <c r="I6" s="142" t="n">
        <f>IF(I$5="","",I$5)</f>
        <v>46667</v>
      </c>
      <c r="J6" s="142" t="n">
        <f>IF(J$5="","",J$5)</f>
        <v>46668</v>
      </c>
      <c r="K6" s="142" t="n">
        <f>IF(K$5="","",K$5)</f>
        <v>46669</v>
      </c>
      <c r="L6" s="142" t="n">
        <f>IF(L$5="","",L$5)</f>
        <v>46670</v>
      </c>
      <c r="M6" s="142" t="n">
        <f>IF(M$5="","",M$5)</f>
        <v>46671</v>
      </c>
      <c r="N6" s="142" t="n">
        <f>IF(N$5="","",N$5)</f>
        <v>46672</v>
      </c>
      <c r="O6" s="142" t="n">
        <f>IF(O$5="","",O$5)</f>
        <v>46673</v>
      </c>
      <c r="P6" s="142" t="n">
        <f>IF(P$5="","",P$5)</f>
        <v>46674</v>
      </c>
      <c r="Q6" s="142" t="n">
        <f>IF(Q$5="","",Q$5)</f>
        <v>46675</v>
      </c>
      <c r="R6" s="142" t="n">
        <f>IF(R$5="","",R$5)</f>
        <v>46676</v>
      </c>
      <c r="S6" s="142" t="n">
        <f>IF(S$5="","",S$5)</f>
        <v>46677</v>
      </c>
      <c r="T6" s="142" t="n">
        <f>IF(T$5="","",T$5)</f>
        <v>46678</v>
      </c>
      <c r="U6" s="142" t="n">
        <f>IF(U$5="","",U$5)</f>
        <v>46679</v>
      </c>
      <c r="V6" s="142" t="n">
        <f>IF(V$5="","",V$5)</f>
        <v>46680</v>
      </c>
      <c r="W6" s="142" t="n">
        <f>IF(W$5="","",W$5)</f>
        <v>46681</v>
      </c>
      <c r="X6" s="142" t="n">
        <f>IF(X$5="","",X$5)</f>
        <v>46682</v>
      </c>
      <c r="Y6" s="142" t="n">
        <f>IF(Y$5="","",Y$5)</f>
        <v>46683</v>
      </c>
      <c r="Z6" s="142" t="n">
        <f>IF(Z$5="","",Z$5)</f>
        <v>46684</v>
      </c>
      <c r="AA6" s="142" t="n">
        <f>IF(AA$5="","",AA$5)</f>
        <v>46685</v>
      </c>
      <c r="AB6" s="142" t="n">
        <f>IF(AB$5="","",AB$5)</f>
        <v>46686</v>
      </c>
      <c r="AC6" s="142" t="n">
        <f>IF(AC$5="","",AC$5)</f>
        <v>46687</v>
      </c>
      <c r="AD6" s="142" t="n">
        <f>IF(AD$5="","",AD$5)</f>
        <v>46688</v>
      </c>
      <c r="AE6" s="142" t="n">
        <f>IF(AE$5="","",AE$5)</f>
        <v>46689</v>
      </c>
      <c r="AF6" s="142" t="n">
        <f>IF(AF$5="","",AF$5)</f>
        <v>46690</v>
      </c>
      <c r="AG6" s="142" t="n">
        <f>IF(AG$5="","",AG$5)</f>
        <v>46691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46661</v>
      </c>
      <c r="D19" s="142" t="n">
        <f>IF(D$5="","",D$5)</f>
        <v>46662</v>
      </c>
      <c r="E19" s="142" t="n">
        <f>IF(E$5="","",E$5)</f>
        <v>46663</v>
      </c>
      <c r="F19" s="142" t="n">
        <f>IF(F$5="","",F$5)</f>
        <v>46664</v>
      </c>
      <c r="G19" s="142" t="n">
        <f>IF(G$5="","",G$5)</f>
        <v>46665</v>
      </c>
      <c r="H19" s="142" t="n">
        <f>IF(H$5="","",H$5)</f>
        <v>46666</v>
      </c>
      <c r="I19" s="142" t="n">
        <f>IF(I$5="","",I$5)</f>
        <v>46667</v>
      </c>
      <c r="J19" s="142" t="n">
        <f>IF(J$5="","",J$5)</f>
        <v>46668</v>
      </c>
      <c r="K19" s="142" t="n">
        <f>IF(K$5="","",K$5)</f>
        <v>46669</v>
      </c>
      <c r="L19" s="142" t="n">
        <f>IF(L$5="","",L$5)</f>
        <v>46670</v>
      </c>
      <c r="M19" s="142" t="n">
        <f>IF(M$5="","",M$5)</f>
        <v>46671</v>
      </c>
      <c r="N19" s="142" t="n">
        <f>IF(N$5="","",N$5)</f>
        <v>46672</v>
      </c>
      <c r="O19" s="142" t="n">
        <f>IF(O$5="","",O$5)</f>
        <v>46673</v>
      </c>
      <c r="P19" s="142" t="n">
        <f>IF(P$5="","",P$5)</f>
        <v>46674</v>
      </c>
      <c r="Q19" s="142" t="n">
        <f>IF(Q$5="","",Q$5)</f>
        <v>46675</v>
      </c>
      <c r="R19" s="142" t="n">
        <f>IF(R$5="","",R$5)</f>
        <v>46676</v>
      </c>
      <c r="S19" s="142" t="n">
        <f>IF(S$5="","",S$5)</f>
        <v>46677</v>
      </c>
      <c r="T19" s="142" t="n">
        <f>IF(T$5="","",T$5)</f>
        <v>46678</v>
      </c>
      <c r="U19" s="142" t="n">
        <f>IF(U$5="","",U$5)</f>
        <v>46679</v>
      </c>
      <c r="V19" s="142" t="n">
        <f>IF(V$5="","",V$5)</f>
        <v>46680</v>
      </c>
      <c r="W19" s="142" t="n">
        <f>IF(W$5="","",W$5)</f>
        <v>46681</v>
      </c>
      <c r="X19" s="142" t="n">
        <f>IF(X$5="","",X$5)</f>
        <v>46682</v>
      </c>
      <c r="Y19" s="142" t="n">
        <f>IF(Y$5="","",Y$5)</f>
        <v>46683</v>
      </c>
      <c r="Z19" s="142" t="n">
        <f>IF(Z$5="","",Z$5)</f>
        <v>46684</v>
      </c>
      <c r="AA19" s="142" t="n">
        <f>IF(AA$5="","",AA$5)</f>
        <v>46685</v>
      </c>
      <c r="AB19" s="142" t="n">
        <f>IF(AB$5="","",AB$5)</f>
        <v>46686</v>
      </c>
      <c r="AC19" s="142" t="n">
        <f>IF(AC$5="","",AC$5)</f>
        <v>46687</v>
      </c>
      <c r="AD19" s="142" t="n">
        <f>IF(AD$5="","",AD$5)</f>
        <v>46688</v>
      </c>
      <c r="AE19" s="142" t="n">
        <f>IF(AE$5="","",AE$5)</f>
        <v>46689</v>
      </c>
      <c r="AF19" s="142" t="n">
        <f>IF(AF$5="","",AF$5)</f>
        <v>46690</v>
      </c>
      <c r="AG19" s="142" t="n">
        <f>IF(AG$5="","",AG$5)</f>
        <v>46691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46661</v>
      </c>
      <c r="D30" s="48" t="n">
        <f>IF(D$5="","",D$5)</f>
        <v>46662</v>
      </c>
      <c r="E30" s="48" t="n">
        <f>IF(E$5="","",E$5)</f>
        <v>46663</v>
      </c>
      <c r="F30" s="48" t="n">
        <f>IF(F$5="","",F$5)</f>
        <v>46664</v>
      </c>
      <c r="G30" s="48" t="n">
        <f>IF(G$5="","",G$5)</f>
        <v>46665</v>
      </c>
      <c r="H30" s="48" t="n">
        <f>IF(H$5="","",H$5)</f>
        <v>46666</v>
      </c>
      <c r="I30" s="48" t="n">
        <f>IF(I$5="","",I$5)</f>
        <v>46667</v>
      </c>
      <c r="J30" s="48" t="n">
        <f>IF(J$5="","",J$5)</f>
        <v>46668</v>
      </c>
      <c r="K30" s="48" t="n">
        <f>IF(K$5="","",K$5)</f>
        <v>46669</v>
      </c>
      <c r="L30" s="48" t="n">
        <f>IF(L$5="","",L$5)</f>
        <v>46670</v>
      </c>
      <c r="M30" s="48" t="n">
        <f>IF(M$5="","",M$5)</f>
        <v>46671</v>
      </c>
      <c r="N30" s="48" t="n">
        <f>IF(N$5="","",N$5)</f>
        <v>46672</v>
      </c>
      <c r="O30" s="48" t="n">
        <f>IF(O$5="","",O$5)</f>
        <v>46673</v>
      </c>
      <c r="P30" s="48" t="n">
        <f>IF(P$5="","",P$5)</f>
        <v>46674</v>
      </c>
      <c r="Q30" s="48" t="n">
        <f>IF(Q$5="","",Q$5)</f>
        <v>46675</v>
      </c>
      <c r="R30" s="48" t="n">
        <f>IF(R$5="","",R$5)</f>
        <v>46676</v>
      </c>
      <c r="S30" s="48" t="n">
        <f>IF(S$5="","",S$5)</f>
        <v>46677</v>
      </c>
      <c r="T30" s="48" t="n">
        <f>IF(T$5="","",T$5)</f>
        <v>46678</v>
      </c>
      <c r="U30" s="48" t="n">
        <f>IF(U$5="","",U$5)</f>
        <v>46679</v>
      </c>
      <c r="V30" s="48" t="n">
        <f>IF(V$5="","",V$5)</f>
        <v>46680</v>
      </c>
      <c r="W30" s="48" t="n">
        <f>IF(W$5="","",W$5)</f>
        <v>46681</v>
      </c>
      <c r="X30" s="48" t="n">
        <f>IF(X$5="","",X$5)</f>
        <v>46682</v>
      </c>
      <c r="Y30" s="48" t="n">
        <f>IF(Y$5="","",Y$5)</f>
        <v>46683</v>
      </c>
      <c r="Z30" s="48" t="n">
        <f>IF(Z$5="","",Z$5)</f>
        <v>46684</v>
      </c>
      <c r="AA30" s="48" t="n">
        <f>IF(AA$5="","",AA$5)</f>
        <v>46685</v>
      </c>
      <c r="AB30" s="48" t="n">
        <f>IF(AB$5="","",AB$5)</f>
        <v>46686</v>
      </c>
      <c r="AC30" s="48" t="n">
        <f>IF(AC$5="","",AC$5)</f>
        <v>46687</v>
      </c>
      <c r="AD30" s="48" t="n">
        <f>IF(AD$5="","",AD$5)</f>
        <v>46688</v>
      </c>
      <c r="AE30" s="48" t="n">
        <f>IF(AE$5="","",AE$5)</f>
        <v>46689</v>
      </c>
      <c r="AF30" s="48" t="n">
        <f>IF(AF$5="","",AF$5)</f>
        <v>46690</v>
      </c>
      <c r="AG30" s="48" t="n">
        <f>IF(AG$5="","",AG$5)</f>
        <v>46691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46661</v>
      </c>
      <c r="D31" s="142" t="n">
        <f>IF(D$5="","",D$5)</f>
        <v>46662</v>
      </c>
      <c r="E31" s="142" t="n">
        <f>IF(E$5="","",E$5)</f>
        <v>46663</v>
      </c>
      <c r="F31" s="142" t="n">
        <f>IF(F$5="","",F$5)</f>
        <v>46664</v>
      </c>
      <c r="G31" s="142" t="n">
        <f>IF(G$5="","",G$5)</f>
        <v>46665</v>
      </c>
      <c r="H31" s="142" t="n">
        <f>IF(H$5="","",H$5)</f>
        <v>46666</v>
      </c>
      <c r="I31" s="142" t="n">
        <f>IF(I$5="","",I$5)</f>
        <v>46667</v>
      </c>
      <c r="J31" s="142" t="n">
        <f>IF(J$5="","",J$5)</f>
        <v>46668</v>
      </c>
      <c r="K31" s="142" t="n">
        <f>IF(K$5="","",K$5)</f>
        <v>46669</v>
      </c>
      <c r="L31" s="142" t="n">
        <f>IF(L$5="","",L$5)</f>
        <v>46670</v>
      </c>
      <c r="M31" s="142" t="n">
        <f>IF(M$5="","",M$5)</f>
        <v>46671</v>
      </c>
      <c r="N31" s="142" t="n">
        <f>IF(N$5="","",N$5)</f>
        <v>46672</v>
      </c>
      <c r="O31" s="142" t="n">
        <f>IF(O$5="","",O$5)</f>
        <v>46673</v>
      </c>
      <c r="P31" s="142" t="n">
        <f>IF(P$5="","",P$5)</f>
        <v>46674</v>
      </c>
      <c r="Q31" s="142" t="n">
        <f>IF(Q$5="","",Q$5)</f>
        <v>46675</v>
      </c>
      <c r="R31" s="142" t="n">
        <f>IF(R$5="","",R$5)</f>
        <v>46676</v>
      </c>
      <c r="S31" s="142" t="n">
        <f>IF(S$5="","",S$5)</f>
        <v>46677</v>
      </c>
      <c r="T31" s="142" t="n">
        <f>IF(T$5="","",T$5)</f>
        <v>46678</v>
      </c>
      <c r="U31" s="142" t="n">
        <f>IF(U$5="","",U$5)</f>
        <v>46679</v>
      </c>
      <c r="V31" s="142" t="n">
        <f>IF(V$5="","",V$5)</f>
        <v>46680</v>
      </c>
      <c r="W31" s="142" t="n">
        <f>IF(W$5="","",W$5)</f>
        <v>46681</v>
      </c>
      <c r="X31" s="142" t="n">
        <f>IF(X$5="","",X$5)</f>
        <v>46682</v>
      </c>
      <c r="Y31" s="142" t="n">
        <f>IF(Y$5="","",Y$5)</f>
        <v>46683</v>
      </c>
      <c r="Z31" s="142" t="n">
        <f>IF(Z$5="","",Z$5)</f>
        <v>46684</v>
      </c>
      <c r="AA31" s="142" t="n">
        <f>IF(AA$5="","",AA$5)</f>
        <v>46685</v>
      </c>
      <c r="AB31" s="142" t="n">
        <f>IF(AB$5="","",AB$5)</f>
        <v>46686</v>
      </c>
      <c r="AC31" s="142" t="n">
        <f>IF(AC$5="","",AC$5)</f>
        <v>46687</v>
      </c>
      <c r="AD31" s="142" t="n">
        <f>IF(AD$5="","",AD$5)</f>
        <v>46688</v>
      </c>
      <c r="AE31" s="142" t="n">
        <f>IF(AE$5="","",AE$5)</f>
        <v>46689</v>
      </c>
      <c r="AF31" s="142" t="n">
        <f>IF(AF$5="","",AF$5)</f>
        <v>46690</v>
      </c>
      <c r="AG31" s="142" t="n">
        <f>IF(AG$5="","",AG$5)</f>
        <v>46691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summary'!$C$4,10,1),DATE('Billable summary'!$C$4,11,0))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60" priority="1">
      <formula>OR(C$5="",WEEKDAY(C$5,2)&gt;5)</formula>
    </cfRule>
    <cfRule type="expression" dxfId="161" priority="2">
      <formula>AND(C$5="",NOT(ISBLANK(C7)))</formula>
    </cfRule>
  </conditionalFormatting>
  <conditionalFormatting sqref="C20:AG25">
    <cfRule type="expression" dxfId="162" priority="3">
      <formula>OR(C$5="",WEEKDAY(C$5,2)&gt;5)</formula>
    </cfRule>
    <cfRule type="expression" dxfId="163" priority="4">
      <formula>AND(C$5="",NOT(ISBLANK(C20)))</formula>
    </cfRule>
  </conditionalFormatting>
  <conditionalFormatting sqref="C32:AG35">
    <cfRule type="expression" dxfId="164" priority="5">
      <formula>OR(C$5="",WEEKDAY(C$5,2)&gt;5)</formula>
    </cfRule>
    <cfRule type="expression" dxfId="165" priority="6">
      <formula>AND(C$5="",NOT(ISBLANK(C32)))</formula>
    </cfRule>
  </conditionalFormatting>
  <conditionalFormatting sqref="I43:K43">
    <cfRule type="expression" dxfId="166" priority="7">
      <formula>AND(ISNUMBER($I$43),$I$43&gt;=$I$44)</formula>
    </cfRule>
    <cfRule type="expression" dxfId="167" priority="8">
      <formula>AND(ISNUMBER($I$43),$I$43&lt;$I$44)</formula>
    </cfRule>
  </conditionalFormatting>
  <conditionalFormatting sqref="B51:AH51">
    <cfRule type="containsText" dxfId="168" priority="9" operator="containsText" text="Check"/>
    <cfRule type="containsText" dxfId="169" priority="10" operator="containsText" text="Invalid"/>
    <cfRule type="containsText" dxfId="170" priority="11" operator="containsText" text="Negative"/>
    <cfRule type="containsText" dxfId="171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summary'!$C$4,11,1),"mmmm yyyy")</f>
        <v>November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summary'!$C$4,12,0)),DATE('Billable summary'!$C$4,11,1),"")</f>
        <v>46692</v>
      </c>
      <c r="D5" s="48" t="n">
        <f>IF(2&lt;=DAY(DATE('Billable summary'!$C$4,12,0)),DATE('Billable summary'!$C$4,11,2),"")</f>
        <v>46693</v>
      </c>
      <c r="E5" s="48" t="n">
        <f>IF(3&lt;=DAY(DATE('Billable summary'!$C$4,12,0)),DATE('Billable summary'!$C$4,11,3),"")</f>
        <v>46694</v>
      </c>
      <c r="F5" s="48" t="n">
        <f>IF(4&lt;=DAY(DATE('Billable summary'!$C$4,12,0)),DATE('Billable summary'!$C$4,11,4),"")</f>
        <v>46695</v>
      </c>
      <c r="G5" s="48" t="n">
        <f>IF(5&lt;=DAY(DATE('Billable summary'!$C$4,12,0)),DATE('Billable summary'!$C$4,11,5),"")</f>
        <v>46696</v>
      </c>
      <c r="H5" s="48" t="n">
        <f>IF(6&lt;=DAY(DATE('Billable summary'!$C$4,12,0)),DATE('Billable summary'!$C$4,11,6),"")</f>
        <v>46697</v>
      </c>
      <c r="I5" s="48" t="n">
        <f>IF(7&lt;=DAY(DATE('Billable summary'!$C$4,12,0)),DATE('Billable summary'!$C$4,11,7),"")</f>
        <v>46698</v>
      </c>
      <c r="J5" s="48" t="n">
        <f>IF(8&lt;=DAY(DATE('Billable summary'!$C$4,12,0)),DATE('Billable summary'!$C$4,11,8),"")</f>
        <v>46699</v>
      </c>
      <c r="K5" s="48" t="n">
        <f>IF(9&lt;=DAY(DATE('Billable summary'!$C$4,12,0)),DATE('Billable summary'!$C$4,11,9),"")</f>
        <v>46700</v>
      </c>
      <c r="L5" s="48" t="n">
        <f>IF(10&lt;=DAY(DATE('Billable summary'!$C$4,12,0)),DATE('Billable summary'!$C$4,11,10),"")</f>
        <v>46701</v>
      </c>
      <c r="M5" s="48" t="n">
        <f>IF(11&lt;=DAY(DATE('Billable summary'!$C$4,12,0)),DATE('Billable summary'!$C$4,11,11),"")</f>
        <v>46702</v>
      </c>
      <c r="N5" s="48" t="n">
        <f>IF(12&lt;=DAY(DATE('Billable summary'!$C$4,12,0)),DATE('Billable summary'!$C$4,11,12),"")</f>
        <v>46703</v>
      </c>
      <c r="O5" s="48" t="n">
        <f>IF(13&lt;=DAY(DATE('Billable summary'!$C$4,12,0)),DATE('Billable summary'!$C$4,11,13),"")</f>
        <v>46704</v>
      </c>
      <c r="P5" s="48" t="n">
        <f>IF(14&lt;=DAY(DATE('Billable summary'!$C$4,12,0)),DATE('Billable summary'!$C$4,11,14),"")</f>
        <v>46705</v>
      </c>
      <c r="Q5" s="48" t="n">
        <f>IF(15&lt;=DAY(DATE('Billable summary'!$C$4,12,0)),DATE('Billable summary'!$C$4,11,15),"")</f>
        <v>46706</v>
      </c>
      <c r="R5" s="48" t="n">
        <f>IF(16&lt;=DAY(DATE('Billable summary'!$C$4,12,0)),DATE('Billable summary'!$C$4,11,16),"")</f>
        <v>46707</v>
      </c>
      <c r="S5" s="48" t="n">
        <f>IF(17&lt;=DAY(DATE('Billable summary'!$C$4,12,0)),DATE('Billable summary'!$C$4,11,17),"")</f>
        <v>46708</v>
      </c>
      <c r="T5" s="48" t="n">
        <f>IF(18&lt;=DAY(DATE('Billable summary'!$C$4,12,0)),DATE('Billable summary'!$C$4,11,18),"")</f>
        <v>46709</v>
      </c>
      <c r="U5" s="48" t="n">
        <f>IF(19&lt;=DAY(DATE('Billable summary'!$C$4,12,0)),DATE('Billable summary'!$C$4,11,19),"")</f>
        <v>46710</v>
      </c>
      <c r="V5" s="48" t="n">
        <f>IF(20&lt;=DAY(DATE('Billable summary'!$C$4,12,0)),DATE('Billable summary'!$C$4,11,20),"")</f>
        <v>46711</v>
      </c>
      <c r="W5" s="48" t="n">
        <f>IF(21&lt;=DAY(DATE('Billable summary'!$C$4,12,0)),DATE('Billable summary'!$C$4,11,21),"")</f>
        <v>46712</v>
      </c>
      <c r="X5" s="48" t="n">
        <f>IF(22&lt;=DAY(DATE('Billable summary'!$C$4,12,0)),DATE('Billable summary'!$C$4,11,22),"")</f>
        <v>46713</v>
      </c>
      <c r="Y5" s="48" t="n">
        <f>IF(23&lt;=DAY(DATE('Billable summary'!$C$4,12,0)),DATE('Billable summary'!$C$4,11,23),"")</f>
        <v>46714</v>
      </c>
      <c r="Z5" s="48" t="n">
        <f>IF(24&lt;=DAY(DATE('Billable summary'!$C$4,12,0)),DATE('Billable summary'!$C$4,11,24),"")</f>
        <v>46715</v>
      </c>
      <c r="AA5" s="48" t="n">
        <f>IF(25&lt;=DAY(DATE('Billable summary'!$C$4,12,0)),DATE('Billable summary'!$C$4,11,25),"")</f>
        <v>46716</v>
      </c>
      <c r="AB5" s="48" t="n">
        <f>IF(26&lt;=DAY(DATE('Billable summary'!$C$4,12,0)),DATE('Billable summary'!$C$4,11,26),"")</f>
        <v>46717</v>
      </c>
      <c r="AC5" s="48" t="n">
        <f>IF(27&lt;=DAY(DATE('Billable summary'!$C$4,12,0)),DATE('Billable summary'!$C$4,11,27),"")</f>
        <v>46718</v>
      </c>
      <c r="AD5" s="48" t="n">
        <f>IF(28&lt;=DAY(DATE('Billable summary'!$C$4,12,0)),DATE('Billable summary'!$C$4,11,28),"")</f>
        <v>46719</v>
      </c>
      <c r="AE5" s="48" t="n">
        <f>IF(29&lt;=DAY(DATE('Billable summary'!$C$4,12,0)),DATE('Billable summary'!$C$4,11,29),"")</f>
        <v>46720</v>
      </c>
      <c r="AF5" s="48" t="n">
        <f>IF(30&lt;=DAY(DATE('Billable summary'!$C$4,12,0)),DATE('Billable summary'!$C$4,11,30),"")</f>
        <v>46721</v>
      </c>
      <c r="AG5" s="48" t="str">
        <f>IF(31&lt;=DAY(DATE('Billable summary'!$C$4,12,0)),DATE('Billable summary'!$C$4,11,31),"")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46692</v>
      </c>
      <c r="D6" s="142" t="n">
        <f>IF(D$5="","",D$5)</f>
        <v>46693</v>
      </c>
      <c r="E6" s="142" t="n">
        <f>IF(E$5="","",E$5)</f>
        <v>46694</v>
      </c>
      <c r="F6" s="142" t="n">
        <f>IF(F$5="","",F$5)</f>
        <v>46695</v>
      </c>
      <c r="G6" s="142" t="n">
        <f>IF(G$5="","",G$5)</f>
        <v>46696</v>
      </c>
      <c r="H6" s="142" t="n">
        <f>IF(H$5="","",H$5)</f>
        <v>46697</v>
      </c>
      <c r="I6" s="142" t="n">
        <f>IF(I$5="","",I$5)</f>
        <v>46698</v>
      </c>
      <c r="J6" s="142" t="n">
        <f>IF(J$5="","",J$5)</f>
        <v>46699</v>
      </c>
      <c r="K6" s="142" t="n">
        <f>IF(K$5="","",K$5)</f>
        <v>46700</v>
      </c>
      <c r="L6" s="142" t="n">
        <f>IF(L$5="","",L$5)</f>
        <v>46701</v>
      </c>
      <c r="M6" s="142" t="n">
        <f>IF(M$5="","",M$5)</f>
        <v>46702</v>
      </c>
      <c r="N6" s="142" t="n">
        <f>IF(N$5="","",N$5)</f>
        <v>46703</v>
      </c>
      <c r="O6" s="142" t="n">
        <f>IF(O$5="","",O$5)</f>
        <v>46704</v>
      </c>
      <c r="P6" s="142" t="n">
        <f>IF(P$5="","",P$5)</f>
        <v>46705</v>
      </c>
      <c r="Q6" s="142" t="n">
        <f>IF(Q$5="","",Q$5)</f>
        <v>46706</v>
      </c>
      <c r="R6" s="142" t="n">
        <f>IF(R$5="","",R$5)</f>
        <v>46707</v>
      </c>
      <c r="S6" s="142" t="n">
        <f>IF(S$5="","",S$5)</f>
        <v>46708</v>
      </c>
      <c r="T6" s="142" t="n">
        <f>IF(T$5="","",T$5)</f>
        <v>46709</v>
      </c>
      <c r="U6" s="142" t="n">
        <f>IF(U$5="","",U$5)</f>
        <v>46710</v>
      </c>
      <c r="V6" s="142" t="n">
        <f>IF(V$5="","",V$5)</f>
        <v>46711</v>
      </c>
      <c r="W6" s="142" t="n">
        <f>IF(W$5="","",W$5)</f>
        <v>46712</v>
      </c>
      <c r="X6" s="142" t="n">
        <f>IF(X$5="","",X$5)</f>
        <v>46713</v>
      </c>
      <c r="Y6" s="142" t="n">
        <f>IF(Y$5="","",Y$5)</f>
        <v>46714</v>
      </c>
      <c r="Z6" s="142" t="n">
        <f>IF(Z$5="","",Z$5)</f>
        <v>46715</v>
      </c>
      <c r="AA6" s="142" t="n">
        <f>IF(AA$5="","",AA$5)</f>
        <v>46716</v>
      </c>
      <c r="AB6" s="142" t="n">
        <f>IF(AB$5="","",AB$5)</f>
        <v>46717</v>
      </c>
      <c r="AC6" s="142" t="n">
        <f>IF(AC$5="","",AC$5)</f>
        <v>46718</v>
      </c>
      <c r="AD6" s="142" t="n">
        <f>IF(AD$5="","",AD$5)</f>
        <v>46719</v>
      </c>
      <c r="AE6" s="142" t="n">
        <f>IF(AE$5="","",AE$5)</f>
        <v>46720</v>
      </c>
      <c r="AF6" s="142" t="n">
        <f>IF(AF$5="","",AF$5)</f>
        <v>46721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46692</v>
      </c>
      <c r="D19" s="142" t="n">
        <f>IF(D$5="","",D$5)</f>
        <v>46693</v>
      </c>
      <c r="E19" s="142" t="n">
        <f>IF(E$5="","",E$5)</f>
        <v>46694</v>
      </c>
      <c r="F19" s="142" t="n">
        <f>IF(F$5="","",F$5)</f>
        <v>46695</v>
      </c>
      <c r="G19" s="142" t="n">
        <f>IF(G$5="","",G$5)</f>
        <v>46696</v>
      </c>
      <c r="H19" s="142" t="n">
        <f>IF(H$5="","",H$5)</f>
        <v>46697</v>
      </c>
      <c r="I19" s="142" t="n">
        <f>IF(I$5="","",I$5)</f>
        <v>46698</v>
      </c>
      <c r="J19" s="142" t="n">
        <f>IF(J$5="","",J$5)</f>
        <v>46699</v>
      </c>
      <c r="K19" s="142" t="n">
        <f>IF(K$5="","",K$5)</f>
        <v>46700</v>
      </c>
      <c r="L19" s="142" t="n">
        <f>IF(L$5="","",L$5)</f>
        <v>46701</v>
      </c>
      <c r="M19" s="142" t="n">
        <f>IF(M$5="","",M$5)</f>
        <v>46702</v>
      </c>
      <c r="N19" s="142" t="n">
        <f>IF(N$5="","",N$5)</f>
        <v>46703</v>
      </c>
      <c r="O19" s="142" t="n">
        <f>IF(O$5="","",O$5)</f>
        <v>46704</v>
      </c>
      <c r="P19" s="142" t="n">
        <f>IF(P$5="","",P$5)</f>
        <v>46705</v>
      </c>
      <c r="Q19" s="142" t="n">
        <f>IF(Q$5="","",Q$5)</f>
        <v>46706</v>
      </c>
      <c r="R19" s="142" t="n">
        <f>IF(R$5="","",R$5)</f>
        <v>46707</v>
      </c>
      <c r="S19" s="142" t="n">
        <f>IF(S$5="","",S$5)</f>
        <v>46708</v>
      </c>
      <c r="T19" s="142" t="n">
        <f>IF(T$5="","",T$5)</f>
        <v>46709</v>
      </c>
      <c r="U19" s="142" t="n">
        <f>IF(U$5="","",U$5)</f>
        <v>46710</v>
      </c>
      <c r="V19" s="142" t="n">
        <f>IF(V$5="","",V$5)</f>
        <v>46711</v>
      </c>
      <c r="W19" s="142" t="n">
        <f>IF(W$5="","",W$5)</f>
        <v>46712</v>
      </c>
      <c r="X19" s="142" t="n">
        <f>IF(X$5="","",X$5)</f>
        <v>46713</v>
      </c>
      <c r="Y19" s="142" t="n">
        <f>IF(Y$5="","",Y$5)</f>
        <v>46714</v>
      </c>
      <c r="Z19" s="142" t="n">
        <f>IF(Z$5="","",Z$5)</f>
        <v>46715</v>
      </c>
      <c r="AA19" s="142" t="n">
        <f>IF(AA$5="","",AA$5)</f>
        <v>46716</v>
      </c>
      <c r="AB19" s="142" t="n">
        <f>IF(AB$5="","",AB$5)</f>
        <v>46717</v>
      </c>
      <c r="AC19" s="142" t="n">
        <f>IF(AC$5="","",AC$5)</f>
        <v>46718</v>
      </c>
      <c r="AD19" s="142" t="n">
        <f>IF(AD$5="","",AD$5)</f>
        <v>46719</v>
      </c>
      <c r="AE19" s="142" t="n">
        <f>IF(AE$5="","",AE$5)</f>
        <v>46720</v>
      </c>
      <c r="AF19" s="142" t="n">
        <f>IF(AF$5="","",AF$5)</f>
        <v>46721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46692</v>
      </c>
      <c r="D30" s="48" t="n">
        <f>IF(D$5="","",D$5)</f>
        <v>46693</v>
      </c>
      <c r="E30" s="48" t="n">
        <f>IF(E$5="","",E$5)</f>
        <v>46694</v>
      </c>
      <c r="F30" s="48" t="n">
        <f>IF(F$5="","",F$5)</f>
        <v>46695</v>
      </c>
      <c r="G30" s="48" t="n">
        <f>IF(G$5="","",G$5)</f>
        <v>46696</v>
      </c>
      <c r="H30" s="48" t="n">
        <f>IF(H$5="","",H$5)</f>
        <v>46697</v>
      </c>
      <c r="I30" s="48" t="n">
        <f>IF(I$5="","",I$5)</f>
        <v>46698</v>
      </c>
      <c r="J30" s="48" t="n">
        <f>IF(J$5="","",J$5)</f>
        <v>46699</v>
      </c>
      <c r="K30" s="48" t="n">
        <f>IF(K$5="","",K$5)</f>
        <v>46700</v>
      </c>
      <c r="L30" s="48" t="n">
        <f>IF(L$5="","",L$5)</f>
        <v>46701</v>
      </c>
      <c r="M30" s="48" t="n">
        <f>IF(M$5="","",M$5)</f>
        <v>46702</v>
      </c>
      <c r="N30" s="48" t="n">
        <f>IF(N$5="","",N$5)</f>
        <v>46703</v>
      </c>
      <c r="O30" s="48" t="n">
        <f>IF(O$5="","",O$5)</f>
        <v>46704</v>
      </c>
      <c r="P30" s="48" t="n">
        <f>IF(P$5="","",P$5)</f>
        <v>46705</v>
      </c>
      <c r="Q30" s="48" t="n">
        <f>IF(Q$5="","",Q$5)</f>
        <v>46706</v>
      </c>
      <c r="R30" s="48" t="n">
        <f>IF(R$5="","",R$5)</f>
        <v>46707</v>
      </c>
      <c r="S30" s="48" t="n">
        <f>IF(S$5="","",S$5)</f>
        <v>46708</v>
      </c>
      <c r="T30" s="48" t="n">
        <f>IF(T$5="","",T$5)</f>
        <v>46709</v>
      </c>
      <c r="U30" s="48" t="n">
        <f>IF(U$5="","",U$5)</f>
        <v>46710</v>
      </c>
      <c r="V30" s="48" t="n">
        <f>IF(V$5="","",V$5)</f>
        <v>46711</v>
      </c>
      <c r="W30" s="48" t="n">
        <f>IF(W$5="","",W$5)</f>
        <v>46712</v>
      </c>
      <c r="X30" s="48" t="n">
        <f>IF(X$5="","",X$5)</f>
        <v>46713</v>
      </c>
      <c r="Y30" s="48" t="n">
        <f>IF(Y$5="","",Y$5)</f>
        <v>46714</v>
      </c>
      <c r="Z30" s="48" t="n">
        <f>IF(Z$5="","",Z$5)</f>
        <v>46715</v>
      </c>
      <c r="AA30" s="48" t="n">
        <f>IF(AA$5="","",AA$5)</f>
        <v>46716</v>
      </c>
      <c r="AB30" s="48" t="n">
        <f>IF(AB$5="","",AB$5)</f>
        <v>46717</v>
      </c>
      <c r="AC30" s="48" t="n">
        <f>IF(AC$5="","",AC$5)</f>
        <v>46718</v>
      </c>
      <c r="AD30" s="48" t="n">
        <f>IF(AD$5="","",AD$5)</f>
        <v>46719</v>
      </c>
      <c r="AE30" s="48" t="n">
        <f>IF(AE$5="","",AE$5)</f>
        <v>46720</v>
      </c>
      <c r="AF30" s="48" t="n">
        <f>IF(AF$5="","",AF$5)</f>
        <v>46721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46692</v>
      </c>
      <c r="D31" s="142" t="n">
        <f>IF(D$5="","",D$5)</f>
        <v>46693</v>
      </c>
      <c r="E31" s="142" t="n">
        <f>IF(E$5="","",E$5)</f>
        <v>46694</v>
      </c>
      <c r="F31" s="142" t="n">
        <f>IF(F$5="","",F$5)</f>
        <v>46695</v>
      </c>
      <c r="G31" s="142" t="n">
        <f>IF(G$5="","",G$5)</f>
        <v>46696</v>
      </c>
      <c r="H31" s="142" t="n">
        <f>IF(H$5="","",H$5)</f>
        <v>46697</v>
      </c>
      <c r="I31" s="142" t="n">
        <f>IF(I$5="","",I$5)</f>
        <v>46698</v>
      </c>
      <c r="J31" s="142" t="n">
        <f>IF(J$5="","",J$5)</f>
        <v>46699</v>
      </c>
      <c r="K31" s="142" t="n">
        <f>IF(K$5="","",K$5)</f>
        <v>46700</v>
      </c>
      <c r="L31" s="142" t="n">
        <f>IF(L$5="","",L$5)</f>
        <v>46701</v>
      </c>
      <c r="M31" s="142" t="n">
        <f>IF(M$5="","",M$5)</f>
        <v>46702</v>
      </c>
      <c r="N31" s="142" t="n">
        <f>IF(N$5="","",N$5)</f>
        <v>46703</v>
      </c>
      <c r="O31" s="142" t="n">
        <f>IF(O$5="","",O$5)</f>
        <v>46704</v>
      </c>
      <c r="P31" s="142" t="n">
        <f>IF(P$5="","",P$5)</f>
        <v>46705</v>
      </c>
      <c r="Q31" s="142" t="n">
        <f>IF(Q$5="","",Q$5)</f>
        <v>46706</v>
      </c>
      <c r="R31" s="142" t="n">
        <f>IF(R$5="","",R$5)</f>
        <v>46707</v>
      </c>
      <c r="S31" s="142" t="n">
        <f>IF(S$5="","",S$5)</f>
        <v>46708</v>
      </c>
      <c r="T31" s="142" t="n">
        <f>IF(T$5="","",T$5)</f>
        <v>46709</v>
      </c>
      <c r="U31" s="142" t="n">
        <f>IF(U$5="","",U$5)</f>
        <v>46710</v>
      </c>
      <c r="V31" s="142" t="n">
        <f>IF(V$5="","",V$5)</f>
        <v>46711</v>
      </c>
      <c r="W31" s="142" t="n">
        <f>IF(W$5="","",W$5)</f>
        <v>46712</v>
      </c>
      <c r="X31" s="142" t="n">
        <f>IF(X$5="","",X$5)</f>
        <v>46713</v>
      </c>
      <c r="Y31" s="142" t="n">
        <f>IF(Y$5="","",Y$5)</f>
        <v>46714</v>
      </c>
      <c r="Z31" s="142" t="n">
        <f>IF(Z$5="","",Z$5)</f>
        <v>46715</v>
      </c>
      <c r="AA31" s="142" t="n">
        <f>IF(AA$5="","",AA$5)</f>
        <v>46716</v>
      </c>
      <c r="AB31" s="142" t="n">
        <f>IF(AB$5="","",AB$5)</f>
        <v>46717</v>
      </c>
      <c r="AC31" s="142" t="n">
        <f>IF(AC$5="","",AC$5)</f>
        <v>46718</v>
      </c>
      <c r="AD31" s="142" t="n">
        <f>IF(AD$5="","",AD$5)</f>
        <v>46719</v>
      </c>
      <c r="AE31" s="142" t="n">
        <f>IF(AE$5="","",AE$5)</f>
        <v>46720</v>
      </c>
      <c r="AF31" s="142" t="n">
        <f>IF(AF$5="","",AF$5)</f>
        <v>46721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summary'!$C$4,11,1),DATE('Billable summary'!$C$4,12,0))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72" priority="1">
      <formula>OR(C$5="",WEEKDAY(C$5,2)&gt;5)</formula>
    </cfRule>
    <cfRule type="expression" dxfId="173" priority="2">
      <formula>AND(C$5="",NOT(ISBLANK(C7)))</formula>
    </cfRule>
  </conditionalFormatting>
  <conditionalFormatting sqref="C20:AG25">
    <cfRule type="expression" dxfId="174" priority="3">
      <formula>OR(C$5="",WEEKDAY(C$5,2)&gt;5)</formula>
    </cfRule>
    <cfRule type="expression" dxfId="175" priority="4">
      <formula>AND(C$5="",NOT(ISBLANK(C20)))</formula>
    </cfRule>
  </conditionalFormatting>
  <conditionalFormatting sqref="C32:AG35">
    <cfRule type="expression" dxfId="176" priority="5">
      <formula>OR(C$5="",WEEKDAY(C$5,2)&gt;5)</formula>
    </cfRule>
    <cfRule type="expression" dxfId="177" priority="6">
      <formula>AND(C$5="",NOT(ISBLANK(C32)))</formula>
    </cfRule>
  </conditionalFormatting>
  <conditionalFormatting sqref="I43:K43">
    <cfRule type="expression" dxfId="178" priority="7">
      <formula>AND(ISNUMBER($I$43),$I$43&gt;=$I$44)</formula>
    </cfRule>
    <cfRule type="expression" dxfId="179" priority="8">
      <formula>AND(ISNUMBER($I$43),$I$43&lt;$I$44)</formula>
    </cfRule>
  </conditionalFormatting>
  <conditionalFormatting sqref="B51:AH51">
    <cfRule type="containsText" dxfId="180" priority="9" operator="containsText" text="Check"/>
    <cfRule type="containsText" dxfId="181" priority="10" operator="containsText" text="Invalid"/>
    <cfRule type="containsText" dxfId="182" priority="11" operator="containsText" text="Negative"/>
    <cfRule type="containsText" dxfId="18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summary'!$C$4,12,1),"mmmm yyyy")</f>
        <v>December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summary'!$C$4,13,0)),DATE('Billable summary'!$C$4,12,1),"")</f>
        <v>46722</v>
      </c>
      <c r="D5" s="48" t="n">
        <f>IF(2&lt;=DAY(DATE('Billable summary'!$C$4,13,0)),DATE('Billable summary'!$C$4,12,2),"")</f>
        <v>46723</v>
      </c>
      <c r="E5" s="48" t="n">
        <f>IF(3&lt;=DAY(DATE('Billable summary'!$C$4,13,0)),DATE('Billable summary'!$C$4,12,3),"")</f>
        <v>46724</v>
      </c>
      <c r="F5" s="48" t="n">
        <f>IF(4&lt;=DAY(DATE('Billable summary'!$C$4,13,0)),DATE('Billable summary'!$C$4,12,4),"")</f>
        <v>46725</v>
      </c>
      <c r="G5" s="48" t="n">
        <f>IF(5&lt;=DAY(DATE('Billable summary'!$C$4,13,0)),DATE('Billable summary'!$C$4,12,5),"")</f>
        <v>46726</v>
      </c>
      <c r="H5" s="48" t="n">
        <f>IF(6&lt;=DAY(DATE('Billable summary'!$C$4,13,0)),DATE('Billable summary'!$C$4,12,6),"")</f>
        <v>46727</v>
      </c>
      <c r="I5" s="48" t="n">
        <f>IF(7&lt;=DAY(DATE('Billable summary'!$C$4,13,0)),DATE('Billable summary'!$C$4,12,7),"")</f>
        <v>46728</v>
      </c>
      <c r="J5" s="48" t="n">
        <f>IF(8&lt;=DAY(DATE('Billable summary'!$C$4,13,0)),DATE('Billable summary'!$C$4,12,8),"")</f>
        <v>46729</v>
      </c>
      <c r="K5" s="48" t="n">
        <f>IF(9&lt;=DAY(DATE('Billable summary'!$C$4,13,0)),DATE('Billable summary'!$C$4,12,9),"")</f>
        <v>46730</v>
      </c>
      <c r="L5" s="48" t="n">
        <f>IF(10&lt;=DAY(DATE('Billable summary'!$C$4,13,0)),DATE('Billable summary'!$C$4,12,10),"")</f>
        <v>46731</v>
      </c>
      <c r="M5" s="48" t="n">
        <f>IF(11&lt;=DAY(DATE('Billable summary'!$C$4,13,0)),DATE('Billable summary'!$C$4,12,11),"")</f>
        <v>46732</v>
      </c>
      <c r="N5" s="48" t="n">
        <f>IF(12&lt;=DAY(DATE('Billable summary'!$C$4,13,0)),DATE('Billable summary'!$C$4,12,12),"")</f>
        <v>46733</v>
      </c>
      <c r="O5" s="48" t="n">
        <f>IF(13&lt;=DAY(DATE('Billable summary'!$C$4,13,0)),DATE('Billable summary'!$C$4,12,13),"")</f>
        <v>46734</v>
      </c>
      <c r="P5" s="48" t="n">
        <f>IF(14&lt;=DAY(DATE('Billable summary'!$C$4,13,0)),DATE('Billable summary'!$C$4,12,14),"")</f>
        <v>46735</v>
      </c>
      <c r="Q5" s="48" t="n">
        <f>IF(15&lt;=DAY(DATE('Billable summary'!$C$4,13,0)),DATE('Billable summary'!$C$4,12,15),"")</f>
        <v>46736</v>
      </c>
      <c r="R5" s="48" t="n">
        <f>IF(16&lt;=DAY(DATE('Billable summary'!$C$4,13,0)),DATE('Billable summary'!$C$4,12,16),"")</f>
        <v>46737</v>
      </c>
      <c r="S5" s="48" t="n">
        <f>IF(17&lt;=DAY(DATE('Billable summary'!$C$4,13,0)),DATE('Billable summary'!$C$4,12,17),"")</f>
        <v>46738</v>
      </c>
      <c r="T5" s="48" t="n">
        <f>IF(18&lt;=DAY(DATE('Billable summary'!$C$4,13,0)),DATE('Billable summary'!$C$4,12,18),"")</f>
        <v>46739</v>
      </c>
      <c r="U5" s="48" t="n">
        <f>IF(19&lt;=DAY(DATE('Billable summary'!$C$4,13,0)),DATE('Billable summary'!$C$4,12,19),"")</f>
        <v>46740</v>
      </c>
      <c r="V5" s="48" t="n">
        <f>IF(20&lt;=DAY(DATE('Billable summary'!$C$4,13,0)),DATE('Billable summary'!$C$4,12,20),"")</f>
        <v>46741</v>
      </c>
      <c r="W5" s="48" t="n">
        <f>IF(21&lt;=DAY(DATE('Billable summary'!$C$4,13,0)),DATE('Billable summary'!$C$4,12,21),"")</f>
        <v>46742</v>
      </c>
      <c r="X5" s="48" t="n">
        <f>IF(22&lt;=DAY(DATE('Billable summary'!$C$4,13,0)),DATE('Billable summary'!$C$4,12,22),"")</f>
        <v>46743</v>
      </c>
      <c r="Y5" s="48" t="n">
        <f>IF(23&lt;=DAY(DATE('Billable summary'!$C$4,13,0)),DATE('Billable summary'!$C$4,12,23),"")</f>
        <v>46744</v>
      </c>
      <c r="Z5" s="48" t="n">
        <f>IF(24&lt;=DAY(DATE('Billable summary'!$C$4,13,0)),DATE('Billable summary'!$C$4,12,24),"")</f>
        <v>46745</v>
      </c>
      <c r="AA5" s="48" t="n">
        <f>IF(25&lt;=DAY(DATE('Billable summary'!$C$4,13,0)),DATE('Billable summary'!$C$4,12,25),"")</f>
        <v>46746</v>
      </c>
      <c r="AB5" s="48" t="n">
        <f>IF(26&lt;=DAY(DATE('Billable summary'!$C$4,13,0)),DATE('Billable summary'!$C$4,12,26),"")</f>
        <v>46747</v>
      </c>
      <c r="AC5" s="48" t="n">
        <f>IF(27&lt;=DAY(DATE('Billable summary'!$C$4,13,0)),DATE('Billable summary'!$C$4,12,27),"")</f>
        <v>46748</v>
      </c>
      <c r="AD5" s="48" t="n">
        <f>IF(28&lt;=DAY(DATE('Billable summary'!$C$4,13,0)),DATE('Billable summary'!$C$4,12,28),"")</f>
        <v>46749</v>
      </c>
      <c r="AE5" s="48" t="n">
        <f>IF(29&lt;=DAY(DATE('Billable summary'!$C$4,13,0)),DATE('Billable summary'!$C$4,12,29),"")</f>
        <v>46750</v>
      </c>
      <c r="AF5" s="48" t="n">
        <f>IF(30&lt;=DAY(DATE('Billable summary'!$C$4,13,0)),DATE('Billable summary'!$C$4,12,30),"")</f>
        <v>46751</v>
      </c>
      <c r="AG5" s="48" t="n">
        <f>IF(31&lt;=DAY(DATE('Billable summary'!$C$4,13,0)),DATE('Billable summary'!$C$4,12,31),"")</f>
        <v>46752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46722</v>
      </c>
      <c r="D6" s="142" t="n">
        <f>IF(D$5="","",D$5)</f>
        <v>46723</v>
      </c>
      <c r="E6" s="142" t="n">
        <f>IF(E$5="","",E$5)</f>
        <v>46724</v>
      </c>
      <c r="F6" s="142" t="n">
        <f>IF(F$5="","",F$5)</f>
        <v>46725</v>
      </c>
      <c r="G6" s="142" t="n">
        <f>IF(G$5="","",G$5)</f>
        <v>46726</v>
      </c>
      <c r="H6" s="142" t="n">
        <f>IF(H$5="","",H$5)</f>
        <v>46727</v>
      </c>
      <c r="I6" s="142" t="n">
        <f>IF(I$5="","",I$5)</f>
        <v>46728</v>
      </c>
      <c r="J6" s="142" t="n">
        <f>IF(J$5="","",J$5)</f>
        <v>46729</v>
      </c>
      <c r="K6" s="142" t="n">
        <f>IF(K$5="","",K$5)</f>
        <v>46730</v>
      </c>
      <c r="L6" s="142" t="n">
        <f>IF(L$5="","",L$5)</f>
        <v>46731</v>
      </c>
      <c r="M6" s="142" t="n">
        <f>IF(M$5="","",M$5)</f>
        <v>46732</v>
      </c>
      <c r="N6" s="142" t="n">
        <f>IF(N$5="","",N$5)</f>
        <v>46733</v>
      </c>
      <c r="O6" s="142" t="n">
        <f>IF(O$5="","",O$5)</f>
        <v>46734</v>
      </c>
      <c r="P6" s="142" t="n">
        <f>IF(P$5="","",P$5)</f>
        <v>46735</v>
      </c>
      <c r="Q6" s="142" t="n">
        <f>IF(Q$5="","",Q$5)</f>
        <v>46736</v>
      </c>
      <c r="R6" s="142" t="n">
        <f>IF(R$5="","",R$5)</f>
        <v>46737</v>
      </c>
      <c r="S6" s="142" t="n">
        <f>IF(S$5="","",S$5)</f>
        <v>46738</v>
      </c>
      <c r="T6" s="142" t="n">
        <f>IF(T$5="","",T$5)</f>
        <v>46739</v>
      </c>
      <c r="U6" s="142" t="n">
        <f>IF(U$5="","",U$5)</f>
        <v>46740</v>
      </c>
      <c r="V6" s="142" t="n">
        <f>IF(V$5="","",V$5)</f>
        <v>46741</v>
      </c>
      <c r="W6" s="142" t="n">
        <f>IF(W$5="","",W$5)</f>
        <v>46742</v>
      </c>
      <c r="X6" s="142" t="n">
        <f>IF(X$5="","",X$5)</f>
        <v>46743</v>
      </c>
      <c r="Y6" s="142" t="n">
        <f>IF(Y$5="","",Y$5)</f>
        <v>46744</v>
      </c>
      <c r="Z6" s="142" t="n">
        <f>IF(Z$5="","",Z$5)</f>
        <v>46745</v>
      </c>
      <c r="AA6" s="142" t="n">
        <f>IF(AA$5="","",AA$5)</f>
        <v>46746</v>
      </c>
      <c r="AB6" s="142" t="n">
        <f>IF(AB$5="","",AB$5)</f>
        <v>46747</v>
      </c>
      <c r="AC6" s="142" t="n">
        <f>IF(AC$5="","",AC$5)</f>
        <v>46748</v>
      </c>
      <c r="AD6" s="142" t="n">
        <f>IF(AD$5="","",AD$5)</f>
        <v>46749</v>
      </c>
      <c r="AE6" s="142" t="n">
        <f>IF(AE$5="","",AE$5)</f>
        <v>46750</v>
      </c>
      <c r="AF6" s="142" t="n">
        <f>IF(AF$5="","",AF$5)</f>
        <v>46751</v>
      </c>
      <c r="AG6" s="142" t="n">
        <f>IF(AG$5="","",AG$5)</f>
        <v>46752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46722</v>
      </c>
      <c r="D19" s="142" t="n">
        <f>IF(D$5="","",D$5)</f>
        <v>46723</v>
      </c>
      <c r="E19" s="142" t="n">
        <f>IF(E$5="","",E$5)</f>
        <v>46724</v>
      </c>
      <c r="F19" s="142" t="n">
        <f>IF(F$5="","",F$5)</f>
        <v>46725</v>
      </c>
      <c r="G19" s="142" t="n">
        <f>IF(G$5="","",G$5)</f>
        <v>46726</v>
      </c>
      <c r="H19" s="142" t="n">
        <f>IF(H$5="","",H$5)</f>
        <v>46727</v>
      </c>
      <c r="I19" s="142" t="n">
        <f>IF(I$5="","",I$5)</f>
        <v>46728</v>
      </c>
      <c r="J19" s="142" t="n">
        <f>IF(J$5="","",J$5)</f>
        <v>46729</v>
      </c>
      <c r="K19" s="142" t="n">
        <f>IF(K$5="","",K$5)</f>
        <v>46730</v>
      </c>
      <c r="L19" s="142" t="n">
        <f>IF(L$5="","",L$5)</f>
        <v>46731</v>
      </c>
      <c r="M19" s="142" t="n">
        <f>IF(M$5="","",M$5)</f>
        <v>46732</v>
      </c>
      <c r="N19" s="142" t="n">
        <f>IF(N$5="","",N$5)</f>
        <v>46733</v>
      </c>
      <c r="O19" s="142" t="n">
        <f>IF(O$5="","",O$5)</f>
        <v>46734</v>
      </c>
      <c r="P19" s="142" t="n">
        <f>IF(P$5="","",P$5)</f>
        <v>46735</v>
      </c>
      <c r="Q19" s="142" t="n">
        <f>IF(Q$5="","",Q$5)</f>
        <v>46736</v>
      </c>
      <c r="R19" s="142" t="n">
        <f>IF(R$5="","",R$5)</f>
        <v>46737</v>
      </c>
      <c r="S19" s="142" t="n">
        <f>IF(S$5="","",S$5)</f>
        <v>46738</v>
      </c>
      <c r="T19" s="142" t="n">
        <f>IF(T$5="","",T$5)</f>
        <v>46739</v>
      </c>
      <c r="U19" s="142" t="n">
        <f>IF(U$5="","",U$5)</f>
        <v>46740</v>
      </c>
      <c r="V19" s="142" t="n">
        <f>IF(V$5="","",V$5)</f>
        <v>46741</v>
      </c>
      <c r="W19" s="142" t="n">
        <f>IF(W$5="","",W$5)</f>
        <v>46742</v>
      </c>
      <c r="X19" s="142" t="n">
        <f>IF(X$5="","",X$5)</f>
        <v>46743</v>
      </c>
      <c r="Y19" s="142" t="n">
        <f>IF(Y$5="","",Y$5)</f>
        <v>46744</v>
      </c>
      <c r="Z19" s="142" t="n">
        <f>IF(Z$5="","",Z$5)</f>
        <v>46745</v>
      </c>
      <c r="AA19" s="142" t="n">
        <f>IF(AA$5="","",AA$5)</f>
        <v>46746</v>
      </c>
      <c r="AB19" s="142" t="n">
        <f>IF(AB$5="","",AB$5)</f>
        <v>46747</v>
      </c>
      <c r="AC19" s="142" t="n">
        <f>IF(AC$5="","",AC$5)</f>
        <v>46748</v>
      </c>
      <c r="AD19" s="142" t="n">
        <f>IF(AD$5="","",AD$5)</f>
        <v>46749</v>
      </c>
      <c r="AE19" s="142" t="n">
        <f>IF(AE$5="","",AE$5)</f>
        <v>46750</v>
      </c>
      <c r="AF19" s="142" t="n">
        <f>IF(AF$5="","",AF$5)</f>
        <v>46751</v>
      </c>
      <c r="AG19" s="142" t="n">
        <f>IF(AG$5="","",AG$5)</f>
        <v>46752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46722</v>
      </c>
      <c r="D30" s="48" t="n">
        <f>IF(D$5="","",D$5)</f>
        <v>46723</v>
      </c>
      <c r="E30" s="48" t="n">
        <f>IF(E$5="","",E$5)</f>
        <v>46724</v>
      </c>
      <c r="F30" s="48" t="n">
        <f>IF(F$5="","",F$5)</f>
        <v>46725</v>
      </c>
      <c r="G30" s="48" t="n">
        <f>IF(G$5="","",G$5)</f>
        <v>46726</v>
      </c>
      <c r="H30" s="48" t="n">
        <f>IF(H$5="","",H$5)</f>
        <v>46727</v>
      </c>
      <c r="I30" s="48" t="n">
        <f>IF(I$5="","",I$5)</f>
        <v>46728</v>
      </c>
      <c r="J30" s="48" t="n">
        <f>IF(J$5="","",J$5)</f>
        <v>46729</v>
      </c>
      <c r="K30" s="48" t="n">
        <f>IF(K$5="","",K$5)</f>
        <v>46730</v>
      </c>
      <c r="L30" s="48" t="n">
        <f>IF(L$5="","",L$5)</f>
        <v>46731</v>
      </c>
      <c r="M30" s="48" t="n">
        <f>IF(M$5="","",M$5)</f>
        <v>46732</v>
      </c>
      <c r="N30" s="48" t="n">
        <f>IF(N$5="","",N$5)</f>
        <v>46733</v>
      </c>
      <c r="O30" s="48" t="n">
        <f>IF(O$5="","",O$5)</f>
        <v>46734</v>
      </c>
      <c r="P30" s="48" t="n">
        <f>IF(P$5="","",P$5)</f>
        <v>46735</v>
      </c>
      <c r="Q30" s="48" t="n">
        <f>IF(Q$5="","",Q$5)</f>
        <v>46736</v>
      </c>
      <c r="R30" s="48" t="n">
        <f>IF(R$5="","",R$5)</f>
        <v>46737</v>
      </c>
      <c r="S30" s="48" t="n">
        <f>IF(S$5="","",S$5)</f>
        <v>46738</v>
      </c>
      <c r="T30" s="48" t="n">
        <f>IF(T$5="","",T$5)</f>
        <v>46739</v>
      </c>
      <c r="U30" s="48" t="n">
        <f>IF(U$5="","",U$5)</f>
        <v>46740</v>
      </c>
      <c r="V30" s="48" t="n">
        <f>IF(V$5="","",V$5)</f>
        <v>46741</v>
      </c>
      <c r="W30" s="48" t="n">
        <f>IF(W$5="","",W$5)</f>
        <v>46742</v>
      </c>
      <c r="X30" s="48" t="n">
        <f>IF(X$5="","",X$5)</f>
        <v>46743</v>
      </c>
      <c r="Y30" s="48" t="n">
        <f>IF(Y$5="","",Y$5)</f>
        <v>46744</v>
      </c>
      <c r="Z30" s="48" t="n">
        <f>IF(Z$5="","",Z$5)</f>
        <v>46745</v>
      </c>
      <c r="AA30" s="48" t="n">
        <f>IF(AA$5="","",AA$5)</f>
        <v>46746</v>
      </c>
      <c r="AB30" s="48" t="n">
        <f>IF(AB$5="","",AB$5)</f>
        <v>46747</v>
      </c>
      <c r="AC30" s="48" t="n">
        <f>IF(AC$5="","",AC$5)</f>
        <v>46748</v>
      </c>
      <c r="AD30" s="48" t="n">
        <f>IF(AD$5="","",AD$5)</f>
        <v>46749</v>
      </c>
      <c r="AE30" s="48" t="n">
        <f>IF(AE$5="","",AE$5)</f>
        <v>46750</v>
      </c>
      <c r="AF30" s="48" t="n">
        <f>IF(AF$5="","",AF$5)</f>
        <v>46751</v>
      </c>
      <c r="AG30" s="48" t="n">
        <f>IF(AG$5="","",AG$5)</f>
        <v>46752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46722</v>
      </c>
      <c r="D31" s="142" t="n">
        <f>IF(D$5="","",D$5)</f>
        <v>46723</v>
      </c>
      <c r="E31" s="142" t="n">
        <f>IF(E$5="","",E$5)</f>
        <v>46724</v>
      </c>
      <c r="F31" s="142" t="n">
        <f>IF(F$5="","",F$5)</f>
        <v>46725</v>
      </c>
      <c r="G31" s="142" t="n">
        <f>IF(G$5="","",G$5)</f>
        <v>46726</v>
      </c>
      <c r="H31" s="142" t="n">
        <f>IF(H$5="","",H$5)</f>
        <v>46727</v>
      </c>
      <c r="I31" s="142" t="n">
        <f>IF(I$5="","",I$5)</f>
        <v>46728</v>
      </c>
      <c r="J31" s="142" t="n">
        <f>IF(J$5="","",J$5)</f>
        <v>46729</v>
      </c>
      <c r="K31" s="142" t="n">
        <f>IF(K$5="","",K$5)</f>
        <v>46730</v>
      </c>
      <c r="L31" s="142" t="n">
        <f>IF(L$5="","",L$5)</f>
        <v>46731</v>
      </c>
      <c r="M31" s="142" t="n">
        <f>IF(M$5="","",M$5)</f>
        <v>46732</v>
      </c>
      <c r="N31" s="142" t="n">
        <f>IF(N$5="","",N$5)</f>
        <v>46733</v>
      </c>
      <c r="O31" s="142" t="n">
        <f>IF(O$5="","",O$5)</f>
        <v>46734</v>
      </c>
      <c r="P31" s="142" t="n">
        <f>IF(P$5="","",P$5)</f>
        <v>46735</v>
      </c>
      <c r="Q31" s="142" t="n">
        <f>IF(Q$5="","",Q$5)</f>
        <v>46736</v>
      </c>
      <c r="R31" s="142" t="n">
        <f>IF(R$5="","",R$5)</f>
        <v>46737</v>
      </c>
      <c r="S31" s="142" t="n">
        <f>IF(S$5="","",S$5)</f>
        <v>46738</v>
      </c>
      <c r="T31" s="142" t="n">
        <f>IF(T$5="","",T$5)</f>
        <v>46739</v>
      </c>
      <c r="U31" s="142" t="n">
        <f>IF(U$5="","",U$5)</f>
        <v>46740</v>
      </c>
      <c r="V31" s="142" t="n">
        <f>IF(V$5="","",V$5)</f>
        <v>46741</v>
      </c>
      <c r="W31" s="142" t="n">
        <f>IF(W$5="","",W$5)</f>
        <v>46742</v>
      </c>
      <c r="X31" s="142" t="n">
        <f>IF(X$5="","",X$5)</f>
        <v>46743</v>
      </c>
      <c r="Y31" s="142" t="n">
        <f>IF(Y$5="","",Y$5)</f>
        <v>46744</v>
      </c>
      <c r="Z31" s="142" t="n">
        <f>IF(Z$5="","",Z$5)</f>
        <v>46745</v>
      </c>
      <c r="AA31" s="142" t="n">
        <f>IF(AA$5="","",AA$5)</f>
        <v>46746</v>
      </c>
      <c r="AB31" s="142" t="n">
        <f>IF(AB$5="","",AB$5)</f>
        <v>46747</v>
      </c>
      <c r="AC31" s="142" t="n">
        <f>IF(AC$5="","",AC$5)</f>
        <v>46748</v>
      </c>
      <c r="AD31" s="142" t="n">
        <f>IF(AD$5="","",AD$5)</f>
        <v>46749</v>
      </c>
      <c r="AE31" s="142" t="n">
        <f>IF(AE$5="","",AE$5)</f>
        <v>46750</v>
      </c>
      <c r="AF31" s="142" t="n">
        <f>IF(AF$5="","",AF$5)</f>
        <v>46751</v>
      </c>
      <c r="AG31" s="142" t="n">
        <f>IF(AG$5="","",AG$5)</f>
        <v>46752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summary'!$C$4,12,1),DATE('Billable summary'!$C$4,13,0))</f>
        <v>23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184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138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138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84" priority="1">
      <formula>OR(C$5="",WEEKDAY(C$5,2)&gt;5)</formula>
    </cfRule>
    <cfRule type="expression" dxfId="185" priority="2">
      <formula>AND(C$5="",NOT(ISBLANK(C7)))</formula>
    </cfRule>
  </conditionalFormatting>
  <conditionalFormatting sqref="C20:AG25">
    <cfRule type="expression" dxfId="186" priority="3">
      <formula>OR(C$5="",WEEKDAY(C$5,2)&gt;5)</formula>
    </cfRule>
    <cfRule type="expression" dxfId="187" priority="4">
      <formula>AND(C$5="",NOT(ISBLANK(C20)))</formula>
    </cfRule>
  </conditionalFormatting>
  <conditionalFormatting sqref="C32:AG35">
    <cfRule type="expression" dxfId="188" priority="5">
      <formula>OR(C$5="",WEEKDAY(C$5,2)&gt;5)</formula>
    </cfRule>
    <cfRule type="expression" dxfId="189" priority="6">
      <formula>AND(C$5="",NOT(ISBLANK(C32)))</formula>
    </cfRule>
  </conditionalFormatting>
  <conditionalFormatting sqref="I43:K43">
    <cfRule type="expression" dxfId="190" priority="7">
      <formula>AND(ISNUMBER($I$43),$I$43&gt;=$I$44)</formula>
    </cfRule>
    <cfRule type="expression" dxfId="191" priority="8">
      <formula>AND(ISNUMBER($I$43),$I$43&lt;$I$44)</formula>
    </cfRule>
  </conditionalFormatting>
  <conditionalFormatting sqref="B51:AH51">
    <cfRule type="containsText" dxfId="192" priority="9" operator="containsText" text="Check"/>
    <cfRule type="containsText" dxfId="193" priority="10" operator="containsText" text="Invalid"/>
    <cfRule type="containsText" dxfId="194" priority="11" operator="containsText" text="Negative"/>
    <cfRule type="containsText" dxfId="19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" hidden="0" customWidth="1"/>
    <col min="2" max="2" width="38" hidden="0" customWidth="1"/>
    <col min="3" max="3" width="60" hidden="0" customWidth="1"/>
    <col min="4" max="4" width="24" hidden="0" customWidth="1"/>
    <col min="5" max="5" width="3" hidden="0" customWidth="1"/>
  </cols>
  <sheetData>
    <row r="1" ht="23" customHeight="1">
      <c r="A1" s="55"/>
      <c r="B1" s="3"/>
      <c r="C1" s="3"/>
      <c r="D1" s="3"/>
      <c r="E1" s="55"/>
    </row>
    <row r="2" ht="34" customHeight="1">
      <c r="A2" s="55"/>
      <c r="B2" s="4" t="str">
        <v>Project resources</v>
      </c>
      <c r="C2" s="4"/>
      <c r="D2" s="4"/>
      <c r="E2" s="55"/>
    </row>
    <row r="3" ht="23" customHeight="1">
      <c r="A3" s="55"/>
      <c r="B3" s="3"/>
      <c r="C3" s="3"/>
      <c r="D3" s="3"/>
      <c r="E3" s="55"/>
    </row>
    <row r="4" ht="23" customHeight="1">
      <c r="A4" s="55"/>
      <c r="B4" s="3"/>
      <c r="C4" s="3"/>
      <c r="D4" s="3"/>
      <c r="E4" s="55"/>
    </row>
    <row r="5" ht="28" customHeight="1">
      <c r="A5" s="55"/>
      <c r="B5" s="238" t="str">
        <v>Resource</v>
      </c>
      <c r="C5" s="238" t="str">
        <v>Use it to</v>
      </c>
      <c r="D5" s="238" t="str">
        <v>Website</v>
      </c>
      <c r="E5" s="55"/>
    </row>
    <row r="6" ht="23" customHeight="1">
      <c r="A6" s="55"/>
      <c r="B6" s="67"/>
      <c r="C6" s="67"/>
      <c r="D6" s="67"/>
      <c r="E6" s="55"/>
    </row>
    <row r="7" ht="36" customHeight="1">
      <c r="A7" s="55"/>
      <c r="B7" s="239" t="str">
        <f>HYPERLINK("https://www.stakeholdermap.com/project-templates/project-management-templates.php","Project management templates")</f>
        <v>Project management templates</v>
      </c>
      <c r="C7" s="240" t="str">
        <v>Find related planning and reporting templates.</v>
      </c>
      <c r="D7" s="240" t="str">
        <v>stakeholdermap.com</v>
      </c>
      <c r="E7" s="55"/>
    </row>
    <row r="8" ht="23" customHeight="1">
      <c r="A8" s="55"/>
      <c r="B8" s="67"/>
      <c r="C8" s="67"/>
      <c r="D8" s="67"/>
      <c r="E8" s="55"/>
    </row>
    <row r="9" ht="36" customHeight="1">
      <c r="A9" s="55"/>
      <c r="B9" s="239" t="str">
        <f>HYPERLINK("https://www.stakeholdermap.com/project-templates/activity-attributes-template.php","Activity attributes template")</f>
        <v>Activity attributes template</v>
      </c>
      <c r="C9" s="240" t="str">
        <v>Record the resources needed for each activity.</v>
      </c>
      <c r="D9" s="240" t="str">
        <v>stakeholdermap.com</v>
      </c>
      <c r="E9" s="55"/>
    </row>
    <row r="10" ht="23" customHeight="1">
      <c r="A10" s="55"/>
      <c r="B10" s="67"/>
      <c r="C10" s="67"/>
      <c r="D10" s="67"/>
      <c r="E10" s="55"/>
    </row>
    <row r="11" ht="36" customHeight="1">
      <c r="A11" s="55"/>
      <c r="B11" s="239" t="str">
        <f>HYPERLINK("https://www.stakeholdermap.com/project-templates/activity-list-template.php","Activity list template")</f>
        <v>Activity list template</v>
      </c>
      <c r="C11" s="240" t="str">
        <v>List the work that needs to be delivered.</v>
      </c>
      <c r="D11" s="240" t="str">
        <v>stakeholdermap.com</v>
      </c>
      <c r="E11" s="55"/>
    </row>
    <row r="12" ht="23" customHeight="1">
      <c r="A12" s="55"/>
      <c r="B12" s="67"/>
      <c r="C12" s="67"/>
      <c r="D12" s="67"/>
      <c r="E12" s="55"/>
    </row>
    <row r="13" ht="36" customHeight="1">
      <c r="A13" s="55"/>
      <c r="B13" s="239" t="str">
        <f>HYPERLINK("https://www.stakeholdermap.com/project-templates/project-status-report-excel.php","Project status report")</f>
        <v>Project status report</v>
      </c>
      <c r="C13" s="240" t="str">
        <v>Report delivery progress alongside utilisation.</v>
      </c>
      <c r="D13" s="240" t="str">
        <v>stakeholdermap.com</v>
      </c>
      <c r="E13" s="55"/>
    </row>
    <row r="14" ht="23" customHeight="1">
      <c r="A14" s="55"/>
      <c r="B14" s="67"/>
      <c r="C14" s="67"/>
      <c r="D14" s="67"/>
      <c r="E14" s="55"/>
    </row>
    <row r="15" ht="36" customHeight="1">
      <c r="A15" s="55"/>
      <c r="B15" s="239" t="str">
        <f>HYPERLINK("https://www.stakeholdermap.com/project-templates/wbs-dictionary.php","WBS dictionary template")</f>
        <v>WBS dictionary template</v>
      </c>
      <c r="C15" s="240" t="str">
        <v>Define project deliverables and responsibilities.</v>
      </c>
      <c r="D15" s="240" t="str">
        <v>stakeholdermap.com</v>
      </c>
      <c r="E15" s="55"/>
    </row>
    <row r="16" ht="23" customHeight="1">
      <c r="A16" s="55"/>
      <c r="B16" s="67"/>
      <c r="C16" s="67"/>
      <c r="D16" s="67"/>
      <c r="E16" s="55"/>
    </row>
    <row r="17" ht="23" customHeight="1">
      <c r="A17" s="55"/>
      <c r="B17" s="67"/>
      <c r="C17" s="67"/>
      <c r="D17" s="67"/>
      <c r="E17" s="55"/>
    </row>
    <row r="18" ht="40" customHeight="1">
      <c r="A18" s="55"/>
      <c r="B18" s="198" t="str">
        <v>Template structure based on Tracker 0911.xlsx. Original customer names, booked hours and historic holiday markings have been cleared.</v>
      </c>
      <c r="C18" s="198"/>
      <c r="D18" s="198"/>
      <c r="E18" s="55"/>
    </row>
    <row r="19" ht="23" customHeight="1">
      <c r="A19" s="55"/>
      <c r="B19" s="53"/>
      <c r="C19" s="53"/>
      <c r="D19" s="53"/>
      <c r="E19" s="55"/>
    </row>
    <row r="20" ht="23" customHeight="1">
      <c r="A20" s="55"/>
      <c r="B20" s="3"/>
      <c r="C20" s="3"/>
      <c r="D20" s="3"/>
      <c r="E20" s="55"/>
    </row>
  </sheetData>
  <mergeCells>
    <mergeCell ref="B2:D2"/>
    <mergeCell ref="B18:D18"/>
  </mergeCells>
  <pageMargins left="0.7" right="0.7" top="0.75" bottom="0.75" header="0.3" footer="0.3"/>
</worksheet>
</file>